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kl</author>
  </authors>
  <commentList>
    <comment ref="Q5" authorId="0">
      <text>
        <r>
          <rPr>
            <sz val="9"/>
            <rFont val="Tahoma"/>
            <family val="2"/>
          </rPr>
          <t>tech. pr.:
1533,42 iš rangovo
227,61 iš SRP Projekto</t>
        </r>
        <r>
          <rPr>
            <sz val="8"/>
            <rFont val="Tahoma"/>
            <family val="0"/>
          </rPr>
          <t xml:space="preserve">
</t>
        </r>
      </text>
    </comment>
    <comment ref="Q10" authorId="0">
      <text>
        <r>
          <rPr>
            <sz val="9"/>
            <rFont val="Tahoma"/>
            <family val="2"/>
          </rPr>
          <t>tech. pr.:
1533,42 iš rangovo
227,61 iš SRP Projekto</t>
        </r>
        <r>
          <rPr>
            <sz val="8"/>
            <rFont val="Tahoma"/>
            <family val="0"/>
          </rPr>
          <t xml:space="preserve">
</t>
        </r>
      </text>
    </comment>
    <comment ref="U28" authorId="0">
      <text>
        <r>
          <rPr>
            <b/>
            <sz val="8"/>
            <rFont val="Tahoma"/>
            <family val="0"/>
          </rPr>
          <t>Turto vertinimas</t>
        </r>
        <r>
          <rPr>
            <sz val="8"/>
            <rFont val="Tahoma"/>
            <family val="0"/>
          </rPr>
          <t xml:space="preserve">
</t>
        </r>
      </text>
    </comment>
    <comment ref="H69" authorId="0">
      <text>
        <r>
          <rPr>
            <b/>
            <sz val="8"/>
            <rFont val="Tahoma"/>
            <family val="0"/>
          </rPr>
          <t>4,5% nuo SMD</t>
        </r>
      </text>
    </comment>
    <comment ref="C74" authorId="0">
      <text>
        <r>
          <rPr>
            <b/>
            <sz val="8"/>
            <rFont val="Tahoma"/>
            <family val="0"/>
          </rPr>
          <t>VKS, UAB Idea Artis, UAB Statybų palėtė</t>
        </r>
      </text>
    </comment>
    <comment ref="H79" authorId="0">
      <text>
        <r>
          <rPr>
            <b/>
            <sz val="8"/>
            <rFont val="Tahoma"/>
            <family val="0"/>
          </rPr>
          <t>4,5% nuo SMD</t>
        </r>
        <r>
          <rPr>
            <sz val="8"/>
            <rFont val="Tahoma"/>
            <family val="0"/>
          </rPr>
          <t xml:space="preserve">
</t>
        </r>
      </text>
    </comment>
    <comment ref="H89" authorId="0">
      <text>
        <r>
          <rPr>
            <b/>
            <sz val="8"/>
            <rFont val="Tahoma"/>
            <family val="0"/>
          </rPr>
          <t>4,5% nuo SMD</t>
        </r>
        <r>
          <rPr>
            <sz val="8"/>
            <rFont val="Tahoma"/>
            <family val="0"/>
          </rPr>
          <t xml:space="preserve">
</t>
        </r>
      </text>
    </comment>
    <comment ref="H101" authorId="0">
      <text>
        <r>
          <rPr>
            <b/>
            <sz val="8"/>
            <rFont val="Tahoma"/>
            <family val="0"/>
          </rPr>
          <t>4,5% nuo SMD</t>
        </r>
        <r>
          <rPr>
            <sz val="8"/>
            <rFont val="Tahoma"/>
            <family val="0"/>
          </rPr>
          <t xml:space="preserve">
</t>
        </r>
      </text>
    </comment>
    <comment ref="T120" authorId="0">
      <text>
        <r>
          <rPr>
            <b/>
            <sz val="8"/>
            <rFont val="Tahoma"/>
            <family val="0"/>
          </rPr>
          <t>196,61 Lt projektavimo, 294,61 Lt rangos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<sst xmlns="http://schemas.openxmlformats.org/spreadsheetml/2006/main" count="105" uniqueCount="82">
  <si>
    <t xml:space="preserve">Pastatų tvarkymas </t>
  </si>
  <si>
    <t>UAB "Mūras" /  UAB "Micaras"</t>
  </si>
  <si>
    <t>2007 m. skola 19844,00 Lt</t>
  </si>
  <si>
    <t>Savivaldybės b. lėšos</t>
  </si>
  <si>
    <t>Pastatų tvarkymas - Pylimo g. 6</t>
  </si>
  <si>
    <t>UAB "Mūras" /     G. Stankevičius</t>
  </si>
  <si>
    <t>2008.08.06 2008.11.05</t>
  </si>
  <si>
    <t>2008-08-06 Nr. 39-R, 2008-10-20 susitarimas Nr. 1</t>
  </si>
  <si>
    <t>Pastatų tvarkymas - Kazimiero bažnyčios pagrindinių įėjimo durų restauravimas</t>
  </si>
  <si>
    <t>UAB "Micaras" /   J. Kalmantienė</t>
  </si>
  <si>
    <t>2008.08.28 2008.12.18</t>
  </si>
  <si>
    <t>2008-08-28 Nr. 56-R</t>
  </si>
  <si>
    <t>Pastatų tvarkymas - Maironio g. 10 (tvora)</t>
  </si>
  <si>
    <t xml:space="preserve">  G. Stankevičius</t>
  </si>
  <si>
    <t>SUTARTIS !!!</t>
  </si>
  <si>
    <t>772290,00 (skaič. Kaina)</t>
  </si>
  <si>
    <t>Dekoratyvinis pastatų apšvietimas (Pasažo skg.)</t>
  </si>
  <si>
    <t>UAB "Gaudrė" /    J. Kalmantienė</t>
  </si>
  <si>
    <t>2008.08.19  2008.12.15</t>
  </si>
  <si>
    <t>2008-08-19 Nr. 52-R, 2008-11-12 susitarimas Nr. 1/91-Rp</t>
  </si>
  <si>
    <t>2007 m. skola 88198,00</t>
  </si>
  <si>
    <t>Privatizavimo fondas</t>
  </si>
  <si>
    <t>Ašmenos g. 8/ Vokieciu 10 pastato rekonstrukcija</t>
  </si>
  <si>
    <t xml:space="preserve">UAB "Anrestas" / Burneikaite   </t>
  </si>
  <si>
    <t>2007.09.13 2008.11.05</t>
  </si>
  <si>
    <t>2007-09-13 Nr. 77-R</t>
  </si>
  <si>
    <t>2007 m. skola 769026,00 Lt, iš 2008 m. skirtų lėšų 33645,04 Lt sumokėta Vilniaus planui</t>
  </si>
  <si>
    <t>VU univ</t>
  </si>
  <si>
    <t>Ašmenos g. 8/ Vokieciu 10 pastato rekonstrukcija (VU pavedimo sutartis 156-R)</t>
  </si>
  <si>
    <t>2006-11-29 Nr. 156-R</t>
  </si>
  <si>
    <t>Gynybinės sienos rekonstrukcija (Šv. Dvasios gatvės ir Gynybinės sienos rekonstrukcija)</t>
  </si>
  <si>
    <t>UAB "Alrasta" / G. Šidlauskas</t>
  </si>
  <si>
    <t>2008.11.13 2009.10.09</t>
  </si>
  <si>
    <t>2008-11-13 Nr. 93-R</t>
  </si>
  <si>
    <t>2007 m. skola 82600,00 Lt. Pagal sutartį savivaldybės lėšų suma 402068,00 Lt. Pagal 2008 IP 282600,00</t>
  </si>
  <si>
    <t xml:space="preserve">LD </t>
  </si>
  <si>
    <t>Gynybinės sienos rekonstrukcija (Šv. Dvasios gatvės ir Gynybinės sienos rekonstrukcija) (Leidybos centro lėšos)</t>
  </si>
  <si>
    <t>Bernardinų kapinių tvarkymas</t>
  </si>
  <si>
    <t>UAB „Sąlytis“ / E. Petkevičius</t>
  </si>
  <si>
    <t>2007.07.30 2008.11.28</t>
  </si>
  <si>
    <t>2007-07-30 Nr. 53-R, 2008-11-06 susitarimas Nr. 1/90-Rp</t>
  </si>
  <si>
    <t>Bendrojo naudojimo komunalinių statinių remontas ir rekonstrukcija senamiestyje (Tualeto B. Radvilaitės g. 2, Vilniuje rekonstravimas</t>
  </si>
  <si>
    <t>UAB "Gineita ir Ko" / V. Nekrašas</t>
  </si>
  <si>
    <t>2007.07.30 2009.04.01</t>
  </si>
  <si>
    <t>2008-08-07 Nr. 40-R, 2008-08-29 susitarimas Nr. 1, 2008-12-04 susitarimas Nr. 2/102-Rp, 2008-12-31 susitarimas Nr. 3/116-Rp</t>
  </si>
  <si>
    <t>Iš dalies subsidijuojami Vilniaus senamiesčio pastatų išorės remonto bei aplinkos tvarkymo darbai</t>
  </si>
  <si>
    <r>
      <t xml:space="preserve">Iš dalies subsidijuojami Vilniaus senamiesčio pastatų išorės remonto bei aplinkos tvarkymo darbai </t>
    </r>
    <r>
      <rPr>
        <b/>
        <sz val="10"/>
        <rFont val="Verdana"/>
        <family val="2"/>
      </rPr>
      <t>(Pastato Savičiaus g. 10 stogo dangos remontas)</t>
    </r>
  </si>
  <si>
    <t>UAB "Aukštinė" / O. Burneikaite-Raugalienė</t>
  </si>
  <si>
    <t>2008.09.26 2008.11.10</t>
  </si>
  <si>
    <t>2008-09-26 Nr. 77-R</t>
  </si>
  <si>
    <t>VL</t>
  </si>
  <si>
    <t>Trišalė sutartis: VKS, daugiabučio namo valdytojas ir Vilniaus senamiesčio atnaujinimo agentūra</t>
  </si>
  <si>
    <t>iki 2008-11-10</t>
  </si>
  <si>
    <t>2008-08-11 Nr. G-4/50-R</t>
  </si>
  <si>
    <r>
      <t xml:space="preserve">Iš dalies subsidijuojami Vilniaus senamiesčio pastatų išorės remonto bei aplinkos tvarkymo darbai </t>
    </r>
    <r>
      <rPr>
        <b/>
        <sz val="10"/>
        <rFont val="Verdana"/>
        <family val="2"/>
      </rPr>
      <t>(Pastato Didžioji g. 11 stogo dangos remontas)</t>
    </r>
  </si>
  <si>
    <t>UAB "Statybų paletė" / O. Burneikaite-Raugalienė</t>
  </si>
  <si>
    <t>2008.09.04 2008.11.10</t>
  </si>
  <si>
    <t>2008-09-04 Nr. 65-R</t>
  </si>
  <si>
    <t>2008-09-11 Nr. G-1/46-R</t>
  </si>
  <si>
    <r>
      <t xml:space="preserve">Iš dalies subsidijuojami Vilniaus senamiesčio pastatų išorės remonto bei aplinkos tvarkymo darbai </t>
    </r>
    <r>
      <rPr>
        <b/>
        <sz val="10"/>
        <rFont val="Verdana"/>
        <family val="2"/>
      </rPr>
      <t>(Pastato Traidenio g. 35 stogo dangos remontas)</t>
    </r>
  </si>
  <si>
    <t>UAB "Elvora" / V. Nekrašas</t>
  </si>
  <si>
    <t>2008.09.25 2008.12.10</t>
  </si>
  <si>
    <t>2008-09-25 Nr. 76-R/ 2008-11-27 susitarimas Nr. 1/98-Rp</t>
  </si>
  <si>
    <t>iki 2008-12-10</t>
  </si>
  <si>
    <t>2008-08-11 Nr. G-3/48-R</t>
  </si>
  <si>
    <r>
      <t xml:space="preserve">Iš dalies subsidijuojami Vilniaus senamiesčio pastatų išorės remonto bei aplinkos tvarkymo darbai </t>
    </r>
    <r>
      <rPr>
        <b/>
        <sz val="10"/>
        <rFont val="Verdana"/>
        <family val="2"/>
      </rPr>
      <t>(Pastato Pušų g. 16 stogo dangos remontas)</t>
    </r>
  </si>
  <si>
    <t>UAB "AABAF" / A. Tolvaiša</t>
  </si>
  <si>
    <t>2008.11.19 2009.01.30</t>
  </si>
  <si>
    <t>2008-11-19 Nr. 94-R, 2008-12-19 susitarimas Nr. 1- 111-Rp</t>
  </si>
  <si>
    <t>iki 2009-01-30</t>
  </si>
  <si>
    <t>2008-08-11 Nr. G-2/47-R, 2008-12-17 susitarimas Nr. 1/ 110-Rp</t>
  </si>
  <si>
    <t xml:space="preserve">Įvažiavimų į miestą sutvarkymas, pasirengimas "Vilniaus-Europos kultūros sostinė 2009" </t>
  </si>
  <si>
    <r>
      <t xml:space="preserve">Įvažiavimų į miestą sutvarkymas, pasirengimas "Vilniaus-Europos kultūros sostinė 2009" </t>
    </r>
    <r>
      <rPr>
        <b/>
        <sz val="10"/>
        <rFont val="Verdana"/>
        <family val="2"/>
      </rPr>
      <t>(Dariaus ir Girėno g. 11)</t>
    </r>
  </si>
  <si>
    <t>UAB "Daila"</t>
  </si>
  <si>
    <t>2008.09.11 2008.11.07</t>
  </si>
  <si>
    <t>2008-09-11 Nr. 69-R</t>
  </si>
  <si>
    <r>
      <t xml:space="preserve">Įvažiavimų į miestą sutvarkymas, pasirengimas "Vilniaus-Europos kultūros sostinė 2009" </t>
    </r>
    <r>
      <rPr>
        <b/>
        <sz val="10"/>
        <rFont val="Verdana"/>
        <family val="2"/>
      </rPr>
      <t>(Dariaus ir Girėno g. 13)</t>
    </r>
  </si>
  <si>
    <t>UAB "Luidas"</t>
  </si>
  <si>
    <t>2008-09-11 Nr. 70-R</t>
  </si>
  <si>
    <t>Objektas</t>
  </si>
  <si>
    <t>Skirta lėšų</t>
  </si>
  <si>
    <t>Suaktuota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</si>
</sst>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.00\ _L_t"/>
    <numFmt numFmtId="165" formatCode="0.00\ %"/>
    <numFmt numFmtId="166" formatCode="0\ %"/>
  </numFmts>
  <fonts count="16">
    <font>
      <sz val="10"/>
      <name val="Arial"/>
      <family val="0"/>
    </font>
    <font>
      <b/>
      <sz val="1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i/>
      <sz val="10"/>
      <name val="Verdana"/>
      <family val="2"/>
    </font>
    <font>
      <b/>
      <sz val="10"/>
      <color indexed="10"/>
      <name val="Verdana"/>
      <family val="2"/>
    </font>
    <font>
      <i/>
      <sz val="10"/>
      <name val="Verdana"/>
      <family val="2"/>
    </font>
    <font>
      <sz val="9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4" fontId="1" fillId="2" borderId="1" xfId="0" applyNumberFormat="1" applyFont="1" applyFill="1" applyBorder="1" applyAlignment="1">
      <alignment horizontal="center" vertical="top"/>
    </xf>
    <xf numFmtId="4" fontId="1" fillId="2" borderId="2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/>
    </xf>
    <xf numFmtId="4" fontId="1" fillId="2" borderId="3" xfId="0" applyNumberFormat="1" applyFont="1" applyFill="1" applyBorder="1" applyAlignment="1">
      <alignment horizontal="center" vertical="top"/>
    </xf>
    <xf numFmtId="165" fontId="1" fillId="0" borderId="3" xfId="19" applyNumberFormat="1" applyFont="1" applyFill="1" applyBorder="1" applyAlignment="1">
      <alignment horizontal="center" vertical="top"/>
    </xf>
    <xf numFmtId="4" fontId="1" fillId="0" borderId="4" xfId="19" applyNumberFormat="1" applyFont="1" applyFill="1" applyBorder="1" applyAlignment="1">
      <alignment horizontal="center" vertical="top"/>
    </xf>
    <xf numFmtId="4" fontId="1" fillId="0" borderId="0" xfId="19" applyNumberFormat="1" applyFont="1" applyFill="1" applyBorder="1" applyAlignment="1">
      <alignment horizontal="right" vertical="top"/>
    </xf>
    <xf numFmtId="4" fontId="1" fillId="0" borderId="3" xfId="0" applyNumberFormat="1" applyFont="1" applyFill="1" applyBorder="1" applyAlignment="1">
      <alignment horizontal="center" vertical="top"/>
    </xf>
    <xf numFmtId="9" fontId="1" fillId="0" borderId="5" xfId="19" applyFont="1" applyFill="1" applyBorder="1" applyAlignment="1" applyProtection="1">
      <alignment horizontal="center" vertical="top"/>
      <protection/>
    </xf>
    <xf numFmtId="4" fontId="1" fillId="0" borderId="6" xfId="19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" fontId="4" fillId="0" borderId="3" xfId="0" applyNumberFormat="1" applyFont="1" applyFill="1" applyBorder="1" applyAlignment="1">
      <alignment vertical="top"/>
    </xf>
    <xf numFmtId="4" fontId="4" fillId="2" borderId="3" xfId="0" applyNumberFormat="1" applyFont="1" applyFill="1" applyBorder="1" applyAlignment="1">
      <alignment horizontal="center" vertical="top"/>
    </xf>
    <xf numFmtId="165" fontId="4" fillId="0" borderId="3" xfId="19" applyNumberFormat="1" applyFont="1" applyFill="1" applyBorder="1" applyAlignment="1">
      <alignment horizontal="center" vertical="top"/>
    </xf>
    <xf numFmtId="4" fontId="4" fillId="0" borderId="3" xfId="0" applyNumberFormat="1" applyFont="1" applyFill="1" applyBorder="1" applyAlignment="1">
      <alignment horizontal="center" vertical="top"/>
    </xf>
    <xf numFmtId="9" fontId="4" fillId="0" borderId="5" xfId="19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/>
    </xf>
    <xf numFmtId="4" fontId="1" fillId="0" borderId="5" xfId="0" applyNumberFormat="1" applyFont="1" applyFill="1" applyBorder="1" applyAlignment="1">
      <alignment horizontal="center" vertical="top"/>
    </xf>
    <xf numFmtId="4" fontId="1" fillId="0" borderId="3" xfId="0" applyNumberFormat="1" applyFont="1" applyFill="1" applyBorder="1" applyAlignment="1">
      <alignment horizontal="right" vertical="top"/>
    </xf>
    <xf numFmtId="4" fontId="8" fillId="2" borderId="3" xfId="0" applyNumberFormat="1" applyFont="1" applyFill="1" applyBorder="1" applyAlignment="1">
      <alignment horizontal="center" vertical="top"/>
    </xf>
    <xf numFmtId="4" fontId="7" fillId="0" borderId="5" xfId="0" applyNumberFormat="1" applyFont="1" applyFill="1" applyBorder="1" applyAlignment="1">
      <alignment horizontal="center" vertical="top"/>
    </xf>
    <xf numFmtId="4" fontId="9" fillId="0" borderId="5" xfId="0" applyNumberFormat="1" applyFont="1" applyFill="1" applyBorder="1" applyAlignment="1">
      <alignment horizontal="center" vertical="top"/>
    </xf>
    <xf numFmtId="4" fontId="1" fillId="2" borderId="4" xfId="0" applyNumberFormat="1" applyFont="1" applyFill="1" applyBorder="1" applyAlignment="1">
      <alignment horizontal="center" vertical="top"/>
    </xf>
    <xf numFmtId="4" fontId="1" fillId="0" borderId="4" xfId="0" applyNumberFormat="1" applyFont="1" applyFill="1" applyBorder="1" applyAlignment="1">
      <alignment horizontal="center" vertical="top"/>
    </xf>
    <xf numFmtId="4" fontId="4" fillId="2" borderId="2" xfId="0" applyNumberFormat="1" applyFont="1" applyFill="1" applyBorder="1" applyAlignment="1">
      <alignment horizontal="center" vertical="top"/>
    </xf>
    <xf numFmtId="4" fontId="4" fillId="2" borderId="4" xfId="0" applyNumberFormat="1" applyFont="1" applyFill="1" applyBorder="1" applyAlignment="1">
      <alignment horizontal="center" vertical="top"/>
    </xf>
    <xf numFmtId="4" fontId="4" fillId="0" borderId="4" xfId="0" applyNumberFormat="1" applyFont="1" applyFill="1" applyBorder="1" applyAlignment="1">
      <alignment horizontal="center" vertical="top"/>
    </xf>
    <xf numFmtId="9" fontId="1" fillId="0" borderId="6" xfId="19" applyFont="1" applyFill="1" applyBorder="1" applyAlignment="1" applyProtection="1">
      <alignment horizontal="center" vertical="top"/>
      <protection/>
    </xf>
    <xf numFmtId="9" fontId="4" fillId="0" borderId="6" xfId="19" applyFont="1" applyFill="1" applyBorder="1" applyAlignment="1" applyProtection="1">
      <alignment horizontal="center" vertical="top"/>
      <protection/>
    </xf>
    <xf numFmtId="4" fontId="4" fillId="0" borderId="7" xfId="0" applyNumberFormat="1" applyFont="1" applyFill="1" applyBorder="1" applyAlignment="1">
      <alignment vertical="top"/>
    </xf>
    <xf numFmtId="9" fontId="4" fillId="0" borderId="7" xfId="19" applyFont="1" applyFill="1" applyBorder="1" applyAlignment="1" applyProtection="1">
      <alignment vertical="top"/>
      <protection/>
    </xf>
    <xf numFmtId="4" fontId="4" fillId="0" borderId="8" xfId="0" applyNumberFormat="1" applyFont="1" applyFill="1" applyBorder="1" applyAlignment="1">
      <alignment vertical="top"/>
    </xf>
    <xf numFmtId="4" fontId="4" fillId="0" borderId="9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Border="1" applyAlignment="1">
      <alignment/>
    </xf>
    <xf numFmtId="4" fontId="4" fillId="3" borderId="10" xfId="0" applyNumberFormat="1" applyFont="1" applyFill="1" applyBorder="1" applyAlignment="1">
      <alignment horizontal="center" vertical="top" wrapText="1"/>
    </xf>
    <xf numFmtId="4" fontId="4" fillId="3" borderId="11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top" wrapText="1"/>
    </xf>
    <xf numFmtId="4" fontId="1" fillId="0" borderId="15" xfId="0" applyNumberFormat="1" applyFont="1" applyBorder="1" applyAlignment="1">
      <alignment/>
    </xf>
    <xf numFmtId="4" fontId="1" fillId="3" borderId="1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Border="1" applyAlignment="1">
      <alignment/>
    </xf>
    <xf numFmtId="0" fontId="6" fillId="0" borderId="7" xfId="0" applyFont="1" applyFill="1" applyBorder="1" applyAlignment="1">
      <alignment horizontal="center" vertical="top" wrapText="1"/>
    </xf>
    <xf numFmtId="164" fontId="4" fillId="0" borderId="7" xfId="0" applyNumberFormat="1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center" vertical="top" wrapText="1"/>
    </xf>
    <xf numFmtId="4" fontId="4" fillId="0" borderId="16" xfId="0" applyNumberFormat="1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top" wrapText="1"/>
    </xf>
    <xf numFmtId="43" fontId="4" fillId="0" borderId="7" xfId="0" applyNumberFormat="1" applyFont="1" applyFill="1" applyBorder="1" applyAlignment="1">
      <alignment horizontal="right" vertical="top" wrapText="1"/>
    </xf>
    <xf numFmtId="3" fontId="6" fillId="0" borderId="18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Border="1" applyAlignment="1">
      <alignment/>
    </xf>
    <xf numFmtId="3" fontId="3" fillId="0" borderId="19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4" fontId="1" fillId="3" borderId="10" xfId="0" applyNumberFormat="1" applyFont="1" applyFill="1" applyBorder="1" applyAlignment="1">
      <alignment horizontal="center" vertical="top" wrapText="1"/>
    </xf>
    <xf numFmtId="4" fontId="1" fillId="3" borderId="11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top" wrapText="1"/>
    </xf>
    <xf numFmtId="4" fontId="1" fillId="3" borderId="2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wrapText="1"/>
    </xf>
    <xf numFmtId="0" fontId="5" fillId="0" borderId="7" xfId="0" applyFont="1" applyBorder="1" applyAlignment="1">
      <alignment/>
    </xf>
    <xf numFmtId="3" fontId="6" fillId="0" borderId="19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top" wrapText="1"/>
    </xf>
    <xf numFmtId="4" fontId="4" fillId="3" borderId="2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/>
    </xf>
    <xf numFmtId="0" fontId="4" fillId="0" borderId="7" xfId="0" applyFont="1" applyBorder="1" applyAlignment="1">
      <alignment/>
    </xf>
    <xf numFmtId="43" fontId="4" fillId="0" borderId="21" xfId="0" applyNumberFormat="1" applyFont="1" applyFill="1" applyBorder="1" applyAlignment="1">
      <alignment horizontal="right" vertical="top" wrapText="1"/>
    </xf>
    <xf numFmtId="0" fontId="6" fillId="0" borderId="21" xfId="0" applyFont="1" applyBorder="1" applyAlignment="1">
      <alignment/>
    </xf>
    <xf numFmtId="164" fontId="4" fillId="0" borderId="21" xfId="0" applyNumberFormat="1" applyFont="1" applyFill="1" applyBorder="1" applyAlignment="1">
      <alignment horizontal="center" vertical="top" wrapText="1"/>
    </xf>
    <xf numFmtId="0" fontId="4" fillId="0" borderId="21" xfId="0" applyFont="1" applyBorder="1" applyAlignment="1">
      <alignment/>
    </xf>
    <xf numFmtId="0" fontId="4" fillId="0" borderId="21" xfId="0" applyFont="1" applyFill="1" applyBorder="1" applyAlignment="1">
      <alignment wrapText="1"/>
    </xf>
    <xf numFmtId="0" fontId="5" fillId="0" borderId="21" xfId="0" applyFont="1" applyBorder="1" applyAlignment="1">
      <alignment/>
    </xf>
    <xf numFmtId="0" fontId="5" fillId="0" borderId="21" xfId="0" applyFont="1" applyFill="1" applyBorder="1" applyAlignment="1">
      <alignment horizontal="center" vertical="top" wrapText="1"/>
    </xf>
    <xf numFmtId="3" fontId="6" fillId="0" borderId="19" xfId="0" applyNumberFormat="1" applyFont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left" vertical="top" wrapText="1"/>
    </xf>
    <xf numFmtId="0" fontId="2" fillId="4" borderId="23" xfId="0" applyFont="1" applyFill="1" applyBorder="1" applyAlignment="1">
      <alignment horizontal="center" vertical="top" wrapText="1"/>
    </xf>
    <xf numFmtId="0" fontId="3" fillId="4" borderId="23" xfId="0" applyFont="1" applyFill="1" applyBorder="1" applyAlignment="1">
      <alignment horizontal="center" vertical="top" wrapText="1"/>
    </xf>
    <xf numFmtId="164" fontId="1" fillId="4" borderId="23" xfId="0" applyNumberFormat="1" applyFont="1" applyFill="1" applyBorder="1" applyAlignment="1">
      <alignment horizontal="center" vertical="top" wrapText="1"/>
    </xf>
    <xf numFmtId="4" fontId="1" fillId="4" borderId="23" xfId="0" applyNumberFormat="1" applyFont="1" applyFill="1" applyBorder="1" applyAlignment="1">
      <alignment horizontal="center" vertical="top" wrapText="1"/>
    </xf>
    <xf numFmtId="43" fontId="1" fillId="4" borderId="23" xfId="0" applyNumberFormat="1" applyFont="1" applyFill="1" applyBorder="1" applyAlignment="1">
      <alignment horizontal="right" vertical="top" wrapText="1"/>
    </xf>
    <xf numFmtId="4" fontId="1" fillId="4" borderId="24" xfId="0" applyNumberFormat="1" applyFont="1" applyFill="1" applyBorder="1" applyAlignment="1">
      <alignment vertical="top"/>
    </xf>
    <xf numFmtId="0" fontId="1" fillId="4" borderId="2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164" fontId="1" fillId="4" borderId="7" xfId="0" applyNumberFormat="1" applyFont="1" applyFill="1" applyBorder="1" applyAlignment="1">
      <alignment horizontal="center" vertical="top" wrapText="1"/>
    </xf>
    <xf numFmtId="4" fontId="1" fillId="4" borderId="7" xfId="0" applyNumberFormat="1" applyFont="1" applyFill="1" applyBorder="1" applyAlignment="1">
      <alignment horizontal="center" vertical="top" wrapText="1"/>
    </xf>
    <xf numFmtId="43" fontId="1" fillId="4" borderId="7" xfId="0" applyNumberFormat="1" applyFont="1" applyFill="1" applyBorder="1" applyAlignment="1">
      <alignment horizontal="right" vertical="top" wrapText="1"/>
    </xf>
    <xf numFmtId="4" fontId="1" fillId="4" borderId="8" xfId="0" applyNumberFormat="1" applyFont="1" applyFill="1" applyBorder="1" applyAlignment="1">
      <alignment vertical="top"/>
    </xf>
    <xf numFmtId="0" fontId="1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43" fontId="1" fillId="4" borderId="7" xfId="0" applyNumberFormat="1" applyFont="1" applyFill="1" applyBorder="1" applyAlignment="1">
      <alignment horizontal="right"/>
    </xf>
    <xf numFmtId="14" fontId="3" fillId="4" borderId="7" xfId="0" applyNumberFormat="1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center" wrapText="1"/>
    </xf>
    <xf numFmtId="9" fontId="1" fillId="4" borderId="8" xfId="19" applyFont="1" applyFill="1" applyBorder="1" applyAlignment="1" applyProtection="1">
      <alignment vertical="top"/>
      <protection/>
    </xf>
    <xf numFmtId="0" fontId="1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164" fontId="1" fillId="5" borderId="7" xfId="0" applyNumberFormat="1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/>
    </xf>
    <xf numFmtId="43" fontId="1" fillId="5" borderId="7" xfId="0" applyNumberFormat="1" applyFont="1" applyFill="1" applyBorder="1" applyAlignment="1">
      <alignment horizontal="right" vertical="top" wrapText="1"/>
    </xf>
    <xf numFmtId="4" fontId="1" fillId="5" borderId="7" xfId="0" applyNumberFormat="1" applyFont="1" applyFill="1" applyBorder="1" applyAlignment="1">
      <alignment vertical="top"/>
    </xf>
    <xf numFmtId="0" fontId="1" fillId="5" borderId="7" xfId="0" applyFont="1" applyFill="1" applyBorder="1" applyAlignment="1">
      <alignment wrapText="1"/>
    </xf>
    <xf numFmtId="0" fontId="2" fillId="5" borderId="7" xfId="0" applyFont="1" applyFill="1" applyBorder="1" applyAlignment="1">
      <alignment/>
    </xf>
    <xf numFmtId="0" fontId="14" fillId="2" borderId="26" xfId="0" applyFont="1" applyFill="1" applyBorder="1" applyAlignment="1">
      <alignment/>
    </xf>
    <xf numFmtId="0" fontId="14" fillId="2" borderId="27" xfId="0" applyFont="1" applyFill="1" applyBorder="1" applyAlignment="1">
      <alignment/>
    </xf>
    <xf numFmtId="0" fontId="14" fillId="2" borderId="28" xfId="0" applyFont="1" applyFill="1" applyBorder="1" applyAlignment="1">
      <alignment/>
    </xf>
    <xf numFmtId="0" fontId="4" fillId="5" borderId="7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21"/>
  <sheetViews>
    <sheetView tabSelected="1" workbookViewId="0" topLeftCell="A1">
      <selection activeCell="AG11" sqref="AG11"/>
    </sheetView>
  </sheetViews>
  <sheetFormatPr defaultColWidth="9.140625" defaultRowHeight="12.75"/>
  <cols>
    <col min="2" max="2" width="65.00390625" style="0" customWidth="1"/>
    <col min="3" max="3" width="19.57421875" style="0" hidden="1" customWidth="1"/>
    <col min="4" max="4" width="12.8515625" style="0" hidden="1" customWidth="1"/>
    <col min="5" max="5" width="9.140625" style="0" hidden="1" customWidth="1"/>
    <col min="6" max="6" width="24.8515625" style="0" hidden="1" customWidth="1"/>
    <col min="7" max="7" width="11.421875" style="0" hidden="1" customWidth="1"/>
    <col min="8" max="8" width="18.140625" style="0" customWidth="1"/>
    <col min="9" max="9" width="15.140625" style="0" bestFit="1" customWidth="1"/>
    <col min="10" max="22" width="0" style="0" hidden="1" customWidth="1"/>
    <col min="23" max="23" width="13.00390625" style="0" hidden="1" customWidth="1"/>
    <col min="24" max="24" width="15.140625" style="0" hidden="1" customWidth="1"/>
    <col min="25" max="25" width="13.00390625" style="0" hidden="1" customWidth="1"/>
    <col min="26" max="26" width="0" style="0" hidden="1" customWidth="1"/>
    <col min="27" max="27" width="13.00390625" style="0" hidden="1" customWidth="1"/>
    <col min="28" max="28" width="0" style="0" hidden="1" customWidth="1"/>
  </cols>
  <sheetData>
    <row r="1" spans="1:9" ht="46.5" customHeight="1" thickBot="1">
      <c r="A1" s="127"/>
      <c r="B1" s="128" t="s">
        <v>79</v>
      </c>
      <c r="C1" s="128"/>
      <c r="D1" s="128"/>
      <c r="E1" s="128"/>
      <c r="F1" s="128"/>
      <c r="G1" s="128"/>
      <c r="H1" s="128" t="s">
        <v>80</v>
      </c>
      <c r="I1" s="129" t="s">
        <v>81</v>
      </c>
    </row>
    <row r="2" spans="1:27" s="4" customFormat="1" ht="9.75" customHeight="1" hidden="1">
      <c r="A2" s="93">
        <v>10</v>
      </c>
      <c r="B2" s="94" t="s">
        <v>0</v>
      </c>
      <c r="C2" s="95" t="s">
        <v>1</v>
      </c>
      <c r="D2" s="95"/>
      <c r="E2" s="96"/>
      <c r="F2" s="97"/>
      <c r="G2" s="98">
        <v>0</v>
      </c>
      <c r="H2" s="99">
        <v>429800</v>
      </c>
      <c r="I2" s="100">
        <f>I7+I12+I17</f>
        <v>384933.54999999993</v>
      </c>
      <c r="J2" s="2"/>
      <c r="K2" s="1"/>
      <c r="L2" s="1"/>
      <c r="M2" s="1"/>
      <c r="N2" s="1"/>
      <c r="O2" s="1"/>
      <c r="P2" s="1"/>
      <c r="Q2" s="1">
        <f>Q7+Q12+Q17</f>
        <v>51113.92</v>
      </c>
      <c r="R2" s="1">
        <f>R7+R12+R17</f>
        <v>57454.45</v>
      </c>
      <c r="S2" s="1">
        <f>S7+S12+S17</f>
        <v>180780.52</v>
      </c>
      <c r="T2" s="1">
        <f>T7+T12+T17</f>
        <v>68107.75</v>
      </c>
      <c r="U2" s="1">
        <f>U7+U12+U17</f>
        <v>27476.91</v>
      </c>
      <c r="V2" s="44" t="s">
        <v>2</v>
      </c>
      <c r="W2" s="1">
        <f>H2-I6-19844</f>
        <v>4811.280000000028</v>
      </c>
      <c r="X2" s="46">
        <f>X7+X12+X17+19844</f>
        <v>236543.99999999997</v>
      </c>
      <c r="Y2" s="48">
        <f>Y7+Y12+Y17</f>
        <v>188444.72000000003</v>
      </c>
      <c r="Z2" s="2">
        <f>Z7+Z12+Z17</f>
        <v>181600.74</v>
      </c>
      <c r="AA2" s="3"/>
    </row>
    <row r="3" spans="1:27" s="4" customFormat="1" ht="9.75" customHeight="1" hidden="1">
      <c r="A3" s="101"/>
      <c r="B3" s="102"/>
      <c r="C3" s="103"/>
      <c r="D3" s="103"/>
      <c r="E3" s="104"/>
      <c r="F3" s="105"/>
      <c r="G3" s="106"/>
      <c r="H3" s="107"/>
      <c r="I3" s="108">
        <f>I8+I13+I18</f>
        <v>7586.95</v>
      </c>
      <c r="J3" s="27"/>
      <c r="K3" s="5"/>
      <c r="L3" s="5"/>
      <c r="M3" s="5"/>
      <c r="N3" s="5"/>
      <c r="O3" s="5"/>
      <c r="P3" s="5"/>
      <c r="Q3" s="5">
        <f>Q8+Q13+Q18</f>
        <v>7586.95</v>
      </c>
      <c r="R3" s="5"/>
      <c r="S3" s="5"/>
      <c r="T3" s="5"/>
      <c r="U3" s="5"/>
      <c r="V3" s="45"/>
      <c r="W3" s="6">
        <f>1-((I6+19844)/H2)</f>
        <v>0.01119422987436025</v>
      </c>
      <c r="X3" s="47"/>
      <c r="Y3" s="49"/>
      <c r="Z3" s="7">
        <f>Z8+Z13+Z18</f>
        <v>0</v>
      </c>
      <c r="AA3" s="8"/>
    </row>
    <row r="4" spans="1:27" s="4" customFormat="1" ht="9.75" customHeight="1" hidden="1">
      <c r="A4" s="101"/>
      <c r="B4" s="102"/>
      <c r="C4" s="103"/>
      <c r="D4" s="103"/>
      <c r="E4" s="104"/>
      <c r="F4" s="105"/>
      <c r="G4" s="106"/>
      <c r="H4" s="107"/>
      <c r="I4" s="108">
        <f>I9+I14+I19</f>
        <v>1012.1700000000001</v>
      </c>
      <c r="J4" s="27"/>
      <c r="K4" s="5"/>
      <c r="L4" s="5"/>
      <c r="M4" s="5"/>
      <c r="N4" s="5"/>
      <c r="O4" s="5"/>
      <c r="P4" s="5">
        <f>P9+P14+P19</f>
        <v>675.33</v>
      </c>
      <c r="Q4" s="5">
        <f>Q9+Q14+Q19</f>
        <v>336.84</v>
      </c>
      <c r="R4" s="5"/>
      <c r="S4" s="5"/>
      <c r="T4" s="5"/>
      <c r="U4" s="5"/>
      <c r="V4" s="45"/>
      <c r="W4" s="6"/>
      <c r="X4" s="47"/>
      <c r="Y4" s="49"/>
      <c r="Z4" s="7">
        <f>Z9+Z14+Z19</f>
        <v>0</v>
      </c>
      <c r="AA4" s="8"/>
    </row>
    <row r="5" spans="1:27" s="4" customFormat="1" ht="9.75" customHeight="1" hidden="1">
      <c r="A5" s="101"/>
      <c r="B5" s="102"/>
      <c r="C5" s="103"/>
      <c r="D5" s="103"/>
      <c r="E5" s="104"/>
      <c r="F5" s="105"/>
      <c r="G5" s="106"/>
      <c r="H5" s="107"/>
      <c r="I5" s="108">
        <f>I10+I15+I20</f>
        <v>11612.05</v>
      </c>
      <c r="J5" s="27"/>
      <c r="K5" s="5"/>
      <c r="L5" s="5"/>
      <c r="M5" s="5"/>
      <c r="N5" s="5"/>
      <c r="O5" s="5"/>
      <c r="P5" s="5"/>
      <c r="Q5" s="5">
        <f>Q10+Q15+Q20</f>
        <v>1761.03</v>
      </c>
      <c r="R5" s="5">
        <f>R10+R15+R20</f>
        <v>1723.64</v>
      </c>
      <c r="S5" s="5">
        <f>S10+S15+S20</f>
        <v>5067.639999999999</v>
      </c>
      <c r="T5" s="5">
        <f>T10+T15+T20</f>
        <v>2399</v>
      </c>
      <c r="U5" s="5">
        <f>U10+U15+U20</f>
        <v>660.74</v>
      </c>
      <c r="V5" s="45"/>
      <c r="W5" s="9"/>
      <c r="X5" s="47"/>
      <c r="Y5" s="49"/>
      <c r="Z5" s="7">
        <f>Z10+Z15+Z20</f>
        <v>6843.98</v>
      </c>
      <c r="AA5" s="8"/>
    </row>
    <row r="6" spans="1:28" s="4" customFormat="1" ht="27" customHeight="1" thickBot="1">
      <c r="A6" s="101"/>
      <c r="B6" s="102"/>
      <c r="C6" s="103"/>
      <c r="D6" s="103"/>
      <c r="E6" s="104"/>
      <c r="F6" s="105"/>
      <c r="G6" s="106"/>
      <c r="H6" s="107"/>
      <c r="I6" s="108">
        <f>I11+I16+I21</f>
        <v>405144.72</v>
      </c>
      <c r="J6" s="28">
        <f aca="true" t="shared" si="0" ref="J6:U6">SUM(J2:J5)</f>
        <v>0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675.33</v>
      </c>
      <c r="Q6" s="9">
        <f t="shared" si="0"/>
        <v>60798.73999999999</v>
      </c>
      <c r="R6" s="9">
        <f t="shared" si="0"/>
        <v>59178.09</v>
      </c>
      <c r="S6" s="9">
        <f t="shared" si="0"/>
        <v>185848.15999999997</v>
      </c>
      <c r="T6" s="9">
        <f t="shared" si="0"/>
        <v>70506.75</v>
      </c>
      <c r="U6" s="9">
        <f t="shared" si="0"/>
        <v>28137.65</v>
      </c>
      <c r="V6" s="45"/>
      <c r="W6" s="9"/>
      <c r="X6" s="47"/>
      <c r="Y6" s="49"/>
      <c r="Z6" s="7">
        <f>Z11+Z16+Z21</f>
        <v>188444.71999999997</v>
      </c>
      <c r="AA6" s="8"/>
      <c r="AB6" s="4" t="s">
        <v>3</v>
      </c>
    </row>
    <row r="7" spans="1:110" s="15" customFormat="1" ht="9.75" customHeight="1" hidden="1" thickBot="1">
      <c r="A7" s="131">
        <v>10</v>
      </c>
      <c r="B7" s="38" t="s">
        <v>4</v>
      </c>
      <c r="C7" s="39" t="s">
        <v>5</v>
      </c>
      <c r="D7" s="39" t="s">
        <v>6</v>
      </c>
      <c r="E7" s="50" t="s">
        <v>7</v>
      </c>
      <c r="F7" s="51">
        <v>281818</v>
      </c>
      <c r="G7" s="52">
        <v>0</v>
      </c>
      <c r="H7" s="55"/>
      <c r="I7" s="36">
        <f aca="true" t="shared" si="1" ref="I7:I36">SUM(J7:U7)</f>
        <v>273609.69999999995</v>
      </c>
      <c r="J7" s="29"/>
      <c r="K7" s="12"/>
      <c r="L7" s="12"/>
      <c r="M7" s="12"/>
      <c r="N7" s="12"/>
      <c r="O7" s="12"/>
      <c r="P7" s="12"/>
      <c r="Q7" s="12">
        <v>51113.92</v>
      </c>
      <c r="R7" s="12">
        <v>57454.45</v>
      </c>
      <c r="S7" s="12">
        <v>138000.36</v>
      </c>
      <c r="T7" s="12">
        <v>27040.97</v>
      </c>
      <c r="U7" s="12"/>
      <c r="V7" s="56"/>
      <c r="W7" s="13"/>
      <c r="X7" s="57">
        <f>P11+Q11+R11+51984.28</f>
        <v>172299.59999999998</v>
      </c>
      <c r="Y7" s="40">
        <f>I11-X7</f>
        <v>118008.29000000004</v>
      </c>
      <c r="Z7" s="2">
        <f>S7+T7-51984.28</f>
        <v>113057.04999999999</v>
      </c>
      <c r="AA7" s="3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</row>
    <row r="8" spans="1:110" s="15" customFormat="1" ht="9.75" customHeight="1" hidden="1" thickBot="1">
      <c r="A8" s="131"/>
      <c r="B8" s="38"/>
      <c r="C8" s="39"/>
      <c r="D8" s="39"/>
      <c r="E8" s="50"/>
      <c r="F8" s="51"/>
      <c r="G8" s="52"/>
      <c r="H8" s="55"/>
      <c r="I8" s="36">
        <f t="shared" si="1"/>
        <v>7586.95</v>
      </c>
      <c r="J8" s="30"/>
      <c r="K8" s="17"/>
      <c r="L8" s="17"/>
      <c r="M8" s="17"/>
      <c r="N8" s="17"/>
      <c r="O8" s="17"/>
      <c r="P8" s="17"/>
      <c r="Q8" s="17">
        <v>7586.95</v>
      </c>
      <c r="R8" s="17"/>
      <c r="S8" s="17"/>
      <c r="T8" s="17"/>
      <c r="U8" s="17"/>
      <c r="V8" s="56"/>
      <c r="W8" s="18"/>
      <c r="X8" s="58"/>
      <c r="Y8" s="41"/>
      <c r="Z8" s="7">
        <f>S8+T8</f>
        <v>0</v>
      </c>
      <c r="AA8" s="8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</row>
    <row r="9" spans="1:110" s="15" customFormat="1" ht="9.75" customHeight="1" hidden="1" thickBot="1">
      <c r="A9" s="131"/>
      <c r="B9" s="38"/>
      <c r="C9" s="39"/>
      <c r="D9" s="39"/>
      <c r="E9" s="50"/>
      <c r="F9" s="51"/>
      <c r="G9" s="52"/>
      <c r="H9" s="55"/>
      <c r="I9" s="36">
        <f t="shared" si="1"/>
        <v>675.33</v>
      </c>
      <c r="J9" s="30"/>
      <c r="K9" s="17"/>
      <c r="L9" s="17"/>
      <c r="M9" s="17"/>
      <c r="N9" s="17"/>
      <c r="O9" s="17"/>
      <c r="P9" s="17">
        <v>675.33</v>
      </c>
      <c r="Q9" s="17"/>
      <c r="R9" s="17"/>
      <c r="S9" s="17"/>
      <c r="T9" s="17"/>
      <c r="U9" s="17"/>
      <c r="V9" s="56"/>
      <c r="W9" s="18"/>
      <c r="X9" s="58"/>
      <c r="Y9" s="41"/>
      <c r="Z9" s="7">
        <f>S9+T9</f>
        <v>0</v>
      </c>
      <c r="AA9" s="8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</row>
    <row r="10" spans="1:110" s="15" customFormat="1" ht="9.75" customHeight="1" hidden="1" thickBot="1">
      <c r="A10" s="131"/>
      <c r="B10" s="38"/>
      <c r="C10" s="39"/>
      <c r="D10" s="39"/>
      <c r="E10" s="50"/>
      <c r="F10" s="51"/>
      <c r="G10" s="52"/>
      <c r="H10" s="55"/>
      <c r="I10" s="36">
        <f t="shared" si="1"/>
        <v>8435.91</v>
      </c>
      <c r="J10" s="30"/>
      <c r="K10" s="17"/>
      <c r="L10" s="17"/>
      <c r="M10" s="17"/>
      <c r="N10" s="17"/>
      <c r="O10" s="17"/>
      <c r="P10" s="17"/>
      <c r="Q10" s="17">
        <v>1761.03</v>
      </c>
      <c r="R10" s="17">
        <v>1723.64</v>
      </c>
      <c r="S10" s="17">
        <v>3784.24</v>
      </c>
      <c r="T10" s="17">
        <v>1167</v>
      </c>
      <c r="U10" s="17"/>
      <c r="V10" s="56"/>
      <c r="W10" s="19"/>
      <c r="X10" s="58"/>
      <c r="Y10" s="41"/>
      <c r="Z10" s="7">
        <f>S10+T10</f>
        <v>4951.24</v>
      </c>
      <c r="AA10" s="8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</row>
    <row r="11" spans="1:110" s="15" customFormat="1" ht="27" customHeight="1" thickBot="1">
      <c r="A11" s="131"/>
      <c r="B11" s="38"/>
      <c r="C11" s="39"/>
      <c r="D11" s="39"/>
      <c r="E11" s="50"/>
      <c r="F11" s="51"/>
      <c r="G11" s="52"/>
      <c r="H11" s="55"/>
      <c r="I11" s="36">
        <f t="shared" si="1"/>
        <v>290307.89</v>
      </c>
      <c r="J11" s="31">
        <f>SUM(J7:J10)</f>
        <v>0</v>
      </c>
      <c r="K11" s="19">
        <f aca="true" t="shared" si="2" ref="K11:U11">SUM(K7:K10)</f>
        <v>0</v>
      </c>
      <c r="L11" s="19">
        <f t="shared" si="2"/>
        <v>0</v>
      </c>
      <c r="M11" s="19">
        <f t="shared" si="2"/>
        <v>0</v>
      </c>
      <c r="N11" s="19">
        <f t="shared" si="2"/>
        <v>0</v>
      </c>
      <c r="O11" s="19">
        <f t="shared" si="2"/>
        <v>0</v>
      </c>
      <c r="P11" s="19">
        <f t="shared" si="2"/>
        <v>675.33</v>
      </c>
      <c r="Q11" s="19">
        <f>SUM(Q7:Q10)</f>
        <v>60461.899999999994</v>
      </c>
      <c r="R11" s="19">
        <f t="shared" si="2"/>
        <v>59178.09</v>
      </c>
      <c r="S11" s="19">
        <f t="shared" si="2"/>
        <v>141784.59999999998</v>
      </c>
      <c r="T11" s="19">
        <f t="shared" si="2"/>
        <v>28207.97</v>
      </c>
      <c r="U11" s="19">
        <f t="shared" si="2"/>
        <v>0</v>
      </c>
      <c r="V11" s="56"/>
      <c r="W11" s="19"/>
      <c r="X11" s="58"/>
      <c r="Y11" s="41"/>
      <c r="Z11" s="7">
        <f>SUM(Z7:Z10)</f>
        <v>118008.29</v>
      </c>
      <c r="AA11" s="8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</row>
    <row r="12" spans="1:110" s="15" customFormat="1" ht="9.75" customHeight="1" hidden="1" thickBot="1">
      <c r="A12" s="131">
        <v>10</v>
      </c>
      <c r="B12" s="38" t="s">
        <v>8</v>
      </c>
      <c r="C12" s="39" t="s">
        <v>9</v>
      </c>
      <c r="D12" s="39" t="s">
        <v>10</v>
      </c>
      <c r="E12" s="50" t="s">
        <v>11</v>
      </c>
      <c r="F12" s="51">
        <v>114500</v>
      </c>
      <c r="G12" s="52">
        <v>0</v>
      </c>
      <c r="H12" s="55"/>
      <c r="I12" s="36">
        <f t="shared" si="1"/>
        <v>111323.85</v>
      </c>
      <c r="J12" s="29"/>
      <c r="K12" s="12"/>
      <c r="L12" s="12"/>
      <c r="M12" s="12"/>
      <c r="N12" s="12"/>
      <c r="O12" s="12"/>
      <c r="P12" s="12"/>
      <c r="Q12" s="12"/>
      <c r="R12" s="12"/>
      <c r="S12" s="12">
        <v>42780.16</v>
      </c>
      <c r="T12" s="12">
        <v>41066.78</v>
      </c>
      <c r="U12" s="12">
        <v>27476.91</v>
      </c>
      <c r="V12" s="56"/>
      <c r="W12" s="9"/>
      <c r="X12" s="53">
        <f>336.84+S16</f>
        <v>44400.4</v>
      </c>
      <c r="Y12" s="42">
        <f>T16+U16</f>
        <v>70436.43</v>
      </c>
      <c r="Z12" s="2">
        <f>T12+U12</f>
        <v>68543.69</v>
      </c>
      <c r="AA12" s="3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</row>
    <row r="13" spans="1:110" s="15" customFormat="1" ht="9.75" customHeight="1" hidden="1" thickBot="1">
      <c r="A13" s="131"/>
      <c r="B13" s="38"/>
      <c r="C13" s="39"/>
      <c r="D13" s="39"/>
      <c r="E13" s="50"/>
      <c r="F13" s="51"/>
      <c r="G13" s="52"/>
      <c r="H13" s="55"/>
      <c r="I13" s="36">
        <f t="shared" si="1"/>
        <v>0</v>
      </c>
      <c r="J13" s="30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56"/>
      <c r="W13" s="9"/>
      <c r="X13" s="54"/>
      <c r="Y13" s="43"/>
      <c r="Z13" s="7">
        <f>T13+U13</f>
        <v>0</v>
      </c>
      <c r="AA13" s="8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</row>
    <row r="14" spans="1:110" s="15" customFormat="1" ht="9.75" customHeight="1" hidden="1" thickBot="1">
      <c r="A14" s="131"/>
      <c r="B14" s="38"/>
      <c r="C14" s="39"/>
      <c r="D14" s="39"/>
      <c r="E14" s="50"/>
      <c r="F14" s="51"/>
      <c r="G14" s="52"/>
      <c r="H14" s="55"/>
      <c r="I14" s="36">
        <f t="shared" si="1"/>
        <v>336.84</v>
      </c>
      <c r="J14" s="30"/>
      <c r="K14" s="17"/>
      <c r="L14" s="17"/>
      <c r="M14" s="17"/>
      <c r="N14" s="17"/>
      <c r="O14" s="17"/>
      <c r="P14" s="17"/>
      <c r="Q14" s="17">
        <v>336.84</v>
      </c>
      <c r="R14" s="17"/>
      <c r="S14" s="17"/>
      <c r="T14" s="17"/>
      <c r="U14" s="17"/>
      <c r="V14" s="56"/>
      <c r="W14" s="18"/>
      <c r="X14" s="54"/>
      <c r="Y14" s="43"/>
      <c r="Z14" s="7">
        <f>T14+U14</f>
        <v>0</v>
      </c>
      <c r="AA14" s="8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</row>
    <row r="15" spans="1:110" s="15" customFormat="1" ht="9.75" customHeight="1" hidden="1" thickBot="1">
      <c r="A15" s="131"/>
      <c r="B15" s="38"/>
      <c r="C15" s="39"/>
      <c r="D15" s="39"/>
      <c r="E15" s="50"/>
      <c r="F15" s="51"/>
      <c r="G15" s="52"/>
      <c r="H15" s="55"/>
      <c r="I15" s="36">
        <f t="shared" si="1"/>
        <v>3176.1400000000003</v>
      </c>
      <c r="J15" s="30"/>
      <c r="K15" s="17"/>
      <c r="L15" s="17"/>
      <c r="M15" s="17"/>
      <c r="N15" s="17"/>
      <c r="O15" s="17"/>
      <c r="P15" s="17"/>
      <c r="Q15" s="17"/>
      <c r="R15" s="17"/>
      <c r="S15" s="17">
        <v>1283.4</v>
      </c>
      <c r="T15" s="17">
        <v>1232</v>
      </c>
      <c r="U15" s="17">
        <v>660.74</v>
      </c>
      <c r="V15" s="56"/>
      <c r="W15" s="16"/>
      <c r="X15" s="54"/>
      <c r="Y15" s="43"/>
      <c r="Z15" s="7">
        <f>T15+U15</f>
        <v>1892.74</v>
      </c>
      <c r="AA15" s="8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</row>
    <row r="16" spans="1:110" s="15" customFormat="1" ht="27" customHeight="1" thickBot="1">
      <c r="A16" s="131"/>
      <c r="B16" s="38"/>
      <c r="C16" s="39"/>
      <c r="D16" s="39"/>
      <c r="E16" s="50"/>
      <c r="F16" s="51"/>
      <c r="G16" s="52"/>
      <c r="H16" s="55"/>
      <c r="I16" s="36">
        <f t="shared" si="1"/>
        <v>114836.82999999999</v>
      </c>
      <c r="J16" s="31">
        <f>SUM(J12:J15)</f>
        <v>0</v>
      </c>
      <c r="K16" s="19">
        <f aca="true" t="shared" si="3" ref="K16:U16">SUM(K12:K15)</f>
        <v>0</v>
      </c>
      <c r="L16" s="19">
        <f t="shared" si="3"/>
        <v>0</v>
      </c>
      <c r="M16" s="19">
        <f t="shared" si="3"/>
        <v>0</v>
      </c>
      <c r="N16" s="19">
        <f t="shared" si="3"/>
        <v>0</v>
      </c>
      <c r="O16" s="19">
        <f t="shared" si="3"/>
        <v>0</v>
      </c>
      <c r="P16" s="19">
        <f t="shared" si="3"/>
        <v>0</v>
      </c>
      <c r="Q16" s="19">
        <f t="shared" si="3"/>
        <v>336.84</v>
      </c>
      <c r="R16" s="19">
        <f t="shared" si="3"/>
        <v>0</v>
      </c>
      <c r="S16" s="19">
        <f t="shared" si="3"/>
        <v>44063.560000000005</v>
      </c>
      <c r="T16" s="19">
        <f t="shared" si="3"/>
        <v>42298.78</v>
      </c>
      <c r="U16" s="19">
        <f t="shared" si="3"/>
        <v>28137.65</v>
      </c>
      <c r="V16" s="56"/>
      <c r="W16" s="16"/>
      <c r="X16" s="54"/>
      <c r="Y16" s="43"/>
      <c r="Z16" s="7">
        <f>T16+U16</f>
        <v>70436.43</v>
      </c>
      <c r="AA16" s="8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</row>
    <row r="17" spans="1:110" s="15" customFormat="1" ht="9.75" customHeight="1" hidden="1" thickBot="1">
      <c r="A17" s="131">
        <v>10</v>
      </c>
      <c r="B17" s="38" t="s">
        <v>12</v>
      </c>
      <c r="C17" s="39" t="s">
        <v>13</v>
      </c>
      <c r="D17" s="39"/>
      <c r="E17" s="50" t="s">
        <v>14</v>
      </c>
      <c r="F17" s="51" t="s">
        <v>15</v>
      </c>
      <c r="G17" s="52">
        <v>0</v>
      </c>
      <c r="H17" s="55"/>
      <c r="I17" s="36">
        <f t="shared" si="1"/>
        <v>0</v>
      </c>
      <c r="J17" s="29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56"/>
      <c r="W17" s="9"/>
      <c r="X17" s="53">
        <v>0</v>
      </c>
      <c r="Y17" s="42">
        <v>0</v>
      </c>
      <c r="Z17" s="2">
        <v>0</v>
      </c>
      <c r="AA17" s="3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</row>
    <row r="18" spans="1:110" s="15" customFormat="1" ht="9.75" customHeight="1" hidden="1" thickBot="1">
      <c r="A18" s="131"/>
      <c r="B18" s="38"/>
      <c r="C18" s="39"/>
      <c r="D18" s="39"/>
      <c r="E18" s="50"/>
      <c r="F18" s="51"/>
      <c r="G18" s="52"/>
      <c r="H18" s="55"/>
      <c r="I18" s="36">
        <f t="shared" si="1"/>
        <v>0</v>
      </c>
      <c r="J18" s="30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56"/>
      <c r="W18" s="9"/>
      <c r="X18" s="54"/>
      <c r="Y18" s="43"/>
      <c r="Z18" s="7">
        <v>0</v>
      </c>
      <c r="AA18" s="8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</row>
    <row r="19" spans="1:110" s="15" customFormat="1" ht="9.75" customHeight="1" hidden="1" thickBot="1">
      <c r="A19" s="131"/>
      <c r="B19" s="38"/>
      <c r="C19" s="39"/>
      <c r="D19" s="39"/>
      <c r="E19" s="50"/>
      <c r="F19" s="51"/>
      <c r="G19" s="52"/>
      <c r="H19" s="55"/>
      <c r="I19" s="36">
        <f t="shared" si="1"/>
        <v>0</v>
      </c>
      <c r="J19" s="30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56"/>
      <c r="W19" s="18"/>
      <c r="X19" s="54"/>
      <c r="Y19" s="43"/>
      <c r="Z19" s="7">
        <v>0</v>
      </c>
      <c r="AA19" s="8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</row>
    <row r="20" spans="1:110" s="15" customFormat="1" ht="9.75" customHeight="1" hidden="1" thickBot="1">
      <c r="A20" s="131"/>
      <c r="B20" s="38"/>
      <c r="C20" s="39"/>
      <c r="D20" s="39"/>
      <c r="E20" s="50"/>
      <c r="F20" s="51"/>
      <c r="G20" s="52"/>
      <c r="H20" s="55"/>
      <c r="I20" s="36">
        <f t="shared" si="1"/>
        <v>0</v>
      </c>
      <c r="J20" s="30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56"/>
      <c r="W20" s="16"/>
      <c r="X20" s="54"/>
      <c r="Y20" s="43"/>
      <c r="Z20" s="7">
        <v>0</v>
      </c>
      <c r="AA20" s="8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</row>
    <row r="21" spans="1:110" s="15" customFormat="1" ht="27" customHeight="1" thickBot="1">
      <c r="A21" s="131"/>
      <c r="B21" s="38"/>
      <c r="C21" s="39"/>
      <c r="D21" s="39"/>
      <c r="E21" s="50"/>
      <c r="F21" s="51"/>
      <c r="G21" s="52"/>
      <c r="H21" s="55"/>
      <c r="I21" s="36">
        <f t="shared" si="1"/>
        <v>0</v>
      </c>
      <c r="J21" s="31">
        <f>SUM(J17:J20)</f>
        <v>0</v>
      </c>
      <c r="K21" s="19">
        <f>SUM(K17:K20)</f>
        <v>0</v>
      </c>
      <c r="L21" s="19">
        <f>SUM(L17:L20)</f>
        <v>0</v>
      </c>
      <c r="M21" s="19">
        <f aca="true" t="shared" si="4" ref="M21:U21">SUM(M17:M20)</f>
        <v>0</v>
      </c>
      <c r="N21" s="19">
        <f t="shared" si="4"/>
        <v>0</v>
      </c>
      <c r="O21" s="19">
        <f t="shared" si="4"/>
        <v>0</v>
      </c>
      <c r="P21" s="19">
        <f t="shared" si="4"/>
        <v>0</v>
      </c>
      <c r="Q21" s="19">
        <f t="shared" si="4"/>
        <v>0</v>
      </c>
      <c r="R21" s="19">
        <f t="shared" si="4"/>
        <v>0</v>
      </c>
      <c r="S21" s="19">
        <f t="shared" si="4"/>
        <v>0</v>
      </c>
      <c r="T21" s="19">
        <f t="shared" si="4"/>
        <v>0</v>
      </c>
      <c r="U21" s="19">
        <f t="shared" si="4"/>
        <v>0</v>
      </c>
      <c r="V21" s="56"/>
      <c r="W21" s="16"/>
      <c r="X21" s="54"/>
      <c r="Y21" s="43"/>
      <c r="Z21" s="7">
        <f>SUM(Z17:Z20)</f>
        <v>0</v>
      </c>
      <c r="AA21" s="8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</row>
    <row r="22" spans="1:110" s="21" customFormat="1" ht="9.75" customHeight="1" hidden="1" thickBot="1">
      <c r="A22" s="101">
        <v>10</v>
      </c>
      <c r="B22" s="102" t="s">
        <v>16</v>
      </c>
      <c r="C22" s="103" t="s">
        <v>17</v>
      </c>
      <c r="D22" s="103" t="s">
        <v>18</v>
      </c>
      <c r="E22" s="104" t="s">
        <v>19</v>
      </c>
      <c r="F22" s="105">
        <v>149812.98</v>
      </c>
      <c r="G22" s="106">
        <v>0</v>
      </c>
      <c r="H22" s="107">
        <v>240000</v>
      </c>
      <c r="I22" s="108">
        <f t="shared" si="1"/>
        <v>138523.33</v>
      </c>
      <c r="J22" s="2"/>
      <c r="K22" s="1"/>
      <c r="L22" s="1"/>
      <c r="M22" s="1"/>
      <c r="N22" s="1"/>
      <c r="O22" s="1"/>
      <c r="P22" s="1"/>
      <c r="Q22" s="1"/>
      <c r="R22" s="1"/>
      <c r="S22" s="1"/>
      <c r="T22" s="1"/>
      <c r="U22" s="1">
        <v>138523.33</v>
      </c>
      <c r="V22" s="59" t="s">
        <v>20</v>
      </c>
      <c r="W22" s="1">
        <f>H22-I26-88198</f>
        <v>12243.900000000023</v>
      </c>
      <c r="X22" s="60">
        <f>88198+40000</f>
        <v>128198</v>
      </c>
      <c r="Y22" s="62">
        <f>I26-40000</f>
        <v>99558.09999999998</v>
      </c>
      <c r="Z22" s="2">
        <f>U22-40000</f>
        <v>98523.32999999999</v>
      </c>
      <c r="AA22" s="3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</row>
    <row r="23" spans="1:110" s="21" customFormat="1" ht="9.75" customHeight="1" hidden="1" thickBot="1">
      <c r="A23" s="101"/>
      <c r="B23" s="102"/>
      <c r="C23" s="103"/>
      <c r="D23" s="103"/>
      <c r="E23" s="104"/>
      <c r="F23" s="105"/>
      <c r="G23" s="106"/>
      <c r="H23" s="107"/>
      <c r="I23" s="108">
        <f t="shared" si="1"/>
        <v>0</v>
      </c>
      <c r="J23" s="27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9"/>
      <c r="W23" s="6">
        <f>1-((I26+88198)/H22)</f>
        <v>0.051016250000000096</v>
      </c>
      <c r="X23" s="61"/>
      <c r="Y23" s="63"/>
      <c r="Z23" s="7">
        <v>0</v>
      </c>
      <c r="AA23" s="8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</row>
    <row r="24" spans="1:110" s="21" customFormat="1" ht="9.75" customHeight="1" hidden="1" thickBot="1">
      <c r="A24" s="101"/>
      <c r="B24" s="109"/>
      <c r="C24" s="110"/>
      <c r="D24" s="103"/>
      <c r="E24" s="111"/>
      <c r="F24" s="105"/>
      <c r="G24" s="112"/>
      <c r="H24" s="113"/>
      <c r="I24" s="108">
        <f t="shared" si="1"/>
        <v>0</v>
      </c>
      <c r="J24" s="27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9"/>
      <c r="W24" s="6"/>
      <c r="X24" s="61"/>
      <c r="Y24" s="63"/>
      <c r="Z24" s="7">
        <v>0</v>
      </c>
      <c r="AA24" s="8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</row>
    <row r="25" spans="1:110" s="21" customFormat="1" ht="9.75" customHeight="1" hidden="1" thickBot="1">
      <c r="A25" s="101"/>
      <c r="B25" s="109"/>
      <c r="C25" s="110"/>
      <c r="D25" s="103"/>
      <c r="E25" s="111"/>
      <c r="F25" s="105"/>
      <c r="G25" s="112"/>
      <c r="H25" s="113"/>
      <c r="I25" s="108">
        <f t="shared" si="1"/>
        <v>1034.77</v>
      </c>
      <c r="J25" s="27"/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v>1034.77</v>
      </c>
      <c r="V25" s="59"/>
      <c r="W25" s="9"/>
      <c r="X25" s="61"/>
      <c r="Y25" s="63"/>
      <c r="Z25" s="7">
        <f>U25</f>
        <v>1034.77</v>
      </c>
      <c r="AA25" s="8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</row>
    <row r="26" spans="1:110" s="21" customFormat="1" ht="27" customHeight="1" thickBot="1">
      <c r="A26" s="101"/>
      <c r="B26" s="109"/>
      <c r="C26" s="110"/>
      <c r="D26" s="103"/>
      <c r="E26" s="111"/>
      <c r="F26" s="105"/>
      <c r="G26" s="112"/>
      <c r="H26" s="113"/>
      <c r="I26" s="108">
        <f t="shared" si="1"/>
        <v>139558.09999999998</v>
      </c>
      <c r="J26" s="28">
        <f aca="true" t="shared" si="5" ref="J26:U26">SUM(J22:J25)</f>
        <v>0</v>
      </c>
      <c r="K26" s="9">
        <f t="shared" si="5"/>
        <v>0</v>
      </c>
      <c r="L26" s="9">
        <f t="shared" si="5"/>
        <v>0</v>
      </c>
      <c r="M26" s="9">
        <f t="shared" si="5"/>
        <v>0</v>
      </c>
      <c r="N26" s="9">
        <f t="shared" si="5"/>
        <v>0</v>
      </c>
      <c r="O26" s="9">
        <f t="shared" si="5"/>
        <v>0</v>
      </c>
      <c r="P26" s="9">
        <f t="shared" si="5"/>
        <v>0</v>
      </c>
      <c r="Q26" s="9">
        <f t="shared" si="5"/>
        <v>0</v>
      </c>
      <c r="R26" s="9">
        <f t="shared" si="5"/>
        <v>0</v>
      </c>
      <c r="S26" s="9">
        <f t="shared" si="5"/>
        <v>0</v>
      </c>
      <c r="T26" s="9">
        <f t="shared" si="5"/>
        <v>0</v>
      </c>
      <c r="U26" s="9">
        <f t="shared" si="5"/>
        <v>139558.09999999998</v>
      </c>
      <c r="V26" s="59"/>
      <c r="W26" s="9"/>
      <c r="X26" s="61"/>
      <c r="Y26" s="63"/>
      <c r="Z26" s="7">
        <f>SUM(Z22:Z25)</f>
        <v>99558.09999999999</v>
      </c>
      <c r="AA26" s="8">
        <v>99558.1</v>
      </c>
      <c r="AB26" s="4" t="s">
        <v>21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</row>
    <row r="27" spans="1:110" s="21" customFormat="1" ht="9.75" customHeight="1" hidden="1" thickBot="1">
      <c r="A27" s="101">
        <v>10</v>
      </c>
      <c r="B27" s="102" t="s">
        <v>22</v>
      </c>
      <c r="C27" s="103" t="s">
        <v>23</v>
      </c>
      <c r="D27" s="103" t="s">
        <v>24</v>
      </c>
      <c r="E27" s="114" t="s">
        <v>25</v>
      </c>
      <c r="F27" s="105">
        <v>3396900</v>
      </c>
      <c r="G27" s="106">
        <v>947940.38</v>
      </c>
      <c r="H27" s="107">
        <f>3280500</f>
        <v>3280500</v>
      </c>
      <c r="I27" s="108">
        <f t="shared" si="1"/>
        <v>2370893</v>
      </c>
      <c r="J27" s="2">
        <v>146749</v>
      </c>
      <c r="K27" s="1">
        <v>73429</v>
      </c>
      <c r="L27" s="1">
        <v>229927</v>
      </c>
      <c r="M27" s="1">
        <v>355433</v>
      </c>
      <c r="N27" s="1">
        <v>105440</v>
      </c>
      <c r="O27" s="1">
        <v>220032</v>
      </c>
      <c r="P27" s="1">
        <v>433783</v>
      </c>
      <c r="Q27" s="1">
        <v>296026</v>
      </c>
      <c r="R27" s="1">
        <v>314210</v>
      </c>
      <c r="S27" s="1"/>
      <c r="T27" s="1">
        <v>195864</v>
      </c>
      <c r="U27" s="1"/>
      <c r="V27" s="64" t="s">
        <v>26</v>
      </c>
      <c r="W27" s="1">
        <f>H27-I31-769026-33645.04</f>
        <v>-952.0400000000009</v>
      </c>
      <c r="X27" s="60">
        <f>J31+K31+L31+M31+N31+P31+Q31+O31+R31+769026+47367</f>
        <v>3089297</v>
      </c>
      <c r="Y27" s="62">
        <f>I31-X27+769026</f>
        <v>158510</v>
      </c>
      <c r="Z27" s="2">
        <f>T27-47367</f>
        <v>148497</v>
      </c>
      <c r="AA27" s="3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</row>
    <row r="28" spans="1:110" s="21" customFormat="1" ht="9.75" customHeight="1" hidden="1" thickBot="1">
      <c r="A28" s="101"/>
      <c r="B28" s="102"/>
      <c r="C28" s="103"/>
      <c r="D28" s="103"/>
      <c r="E28" s="104"/>
      <c r="F28" s="105"/>
      <c r="G28" s="106"/>
      <c r="H28" s="107"/>
      <c r="I28" s="108">
        <f t="shared" si="1"/>
        <v>1200</v>
      </c>
      <c r="J28" s="27"/>
      <c r="K28" s="5"/>
      <c r="L28" s="5"/>
      <c r="M28" s="5"/>
      <c r="N28" s="5"/>
      <c r="O28" s="5"/>
      <c r="P28" s="5"/>
      <c r="Q28" s="5"/>
      <c r="R28" s="5"/>
      <c r="S28" s="5"/>
      <c r="T28" s="5"/>
      <c r="U28" s="5">
        <v>1200</v>
      </c>
      <c r="V28" s="64"/>
      <c r="W28" s="6">
        <f>1-(I31/H27)</f>
        <v>0.24438926992836463</v>
      </c>
      <c r="X28" s="61"/>
      <c r="Y28" s="63"/>
      <c r="Z28" s="7">
        <f>U28</f>
        <v>1200</v>
      </c>
      <c r="AA28" s="8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</row>
    <row r="29" spans="1:110" s="21" customFormat="1" ht="9.75" customHeight="1" hidden="1" thickBot="1">
      <c r="A29" s="101"/>
      <c r="B29" s="102"/>
      <c r="C29" s="103"/>
      <c r="D29" s="103"/>
      <c r="E29" s="104"/>
      <c r="F29" s="105"/>
      <c r="G29" s="106"/>
      <c r="H29" s="107"/>
      <c r="I29" s="108">
        <f t="shared" si="1"/>
        <v>0</v>
      </c>
      <c r="J29" s="27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64"/>
      <c r="W29" s="6"/>
      <c r="X29" s="61"/>
      <c r="Y29" s="63"/>
      <c r="Z29" s="7">
        <v>0</v>
      </c>
      <c r="AA29" s="8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</row>
    <row r="30" spans="1:110" s="21" customFormat="1" ht="9.75" customHeight="1" hidden="1" thickBot="1">
      <c r="A30" s="101"/>
      <c r="B30" s="102"/>
      <c r="C30" s="103"/>
      <c r="D30" s="103"/>
      <c r="E30" s="104"/>
      <c r="F30" s="105"/>
      <c r="G30" s="106"/>
      <c r="H30" s="107"/>
      <c r="I30" s="108">
        <f t="shared" si="1"/>
        <v>106688</v>
      </c>
      <c r="J30" s="27">
        <v>6603</v>
      </c>
      <c r="K30" s="5">
        <v>3304</v>
      </c>
      <c r="L30" s="5">
        <v>10346</v>
      </c>
      <c r="M30" s="5">
        <v>15995</v>
      </c>
      <c r="N30" s="5">
        <v>4745</v>
      </c>
      <c r="O30" s="5">
        <v>9901</v>
      </c>
      <c r="P30" s="5">
        <v>19520</v>
      </c>
      <c r="Q30" s="5">
        <v>13321</v>
      </c>
      <c r="R30" s="5">
        <v>14140</v>
      </c>
      <c r="S30" s="5"/>
      <c r="T30" s="5">
        <v>8813</v>
      </c>
      <c r="U30" s="5"/>
      <c r="V30" s="64"/>
      <c r="W30" s="9"/>
      <c r="X30" s="61"/>
      <c r="Y30" s="63"/>
      <c r="Z30" s="7">
        <f>T30</f>
        <v>8813</v>
      </c>
      <c r="AA30" s="8">
        <v>77529</v>
      </c>
      <c r="AB30" s="4" t="s">
        <v>21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</row>
    <row r="31" spans="1:110" s="21" customFormat="1" ht="27" customHeight="1" thickBot="1">
      <c r="A31" s="101"/>
      <c r="B31" s="102"/>
      <c r="C31" s="103"/>
      <c r="D31" s="103"/>
      <c r="E31" s="104"/>
      <c r="F31" s="105"/>
      <c r="G31" s="106"/>
      <c r="H31" s="107"/>
      <c r="I31" s="108">
        <f t="shared" si="1"/>
        <v>2478781</v>
      </c>
      <c r="J31" s="28">
        <f>SUM(J27:J30)</f>
        <v>153352</v>
      </c>
      <c r="K31" s="9">
        <f aca="true" t="shared" si="6" ref="K31:U31">SUM(K27:K30)</f>
        <v>76733</v>
      </c>
      <c r="L31" s="9">
        <f t="shared" si="6"/>
        <v>240273</v>
      </c>
      <c r="M31" s="9">
        <f t="shared" si="6"/>
        <v>371428</v>
      </c>
      <c r="N31" s="9">
        <f t="shared" si="6"/>
        <v>110185</v>
      </c>
      <c r="O31" s="9">
        <f t="shared" si="6"/>
        <v>229933</v>
      </c>
      <c r="P31" s="9">
        <f t="shared" si="6"/>
        <v>453303</v>
      </c>
      <c r="Q31" s="9">
        <f t="shared" si="6"/>
        <v>309347</v>
      </c>
      <c r="R31" s="9">
        <f t="shared" si="6"/>
        <v>328350</v>
      </c>
      <c r="S31" s="9">
        <f t="shared" si="6"/>
        <v>0</v>
      </c>
      <c r="T31" s="9">
        <f t="shared" si="6"/>
        <v>204677</v>
      </c>
      <c r="U31" s="9">
        <f t="shared" si="6"/>
        <v>1200</v>
      </c>
      <c r="V31" s="64"/>
      <c r="W31" s="23"/>
      <c r="X31" s="61"/>
      <c r="Y31" s="63"/>
      <c r="Z31" s="7">
        <f>SUM(Z27:Z30)</f>
        <v>158510</v>
      </c>
      <c r="AA31" s="8">
        <v>80028.96</v>
      </c>
      <c r="AB31" s="4" t="s">
        <v>3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</row>
    <row r="32" spans="1:110" s="21" customFormat="1" ht="9.75" customHeight="1" hidden="1" thickBot="1">
      <c r="A32" s="115" t="s">
        <v>27</v>
      </c>
      <c r="B32" s="102" t="s">
        <v>28</v>
      </c>
      <c r="C32" s="103" t="s">
        <v>23</v>
      </c>
      <c r="D32" s="103" t="s">
        <v>24</v>
      </c>
      <c r="E32" s="114" t="s">
        <v>29</v>
      </c>
      <c r="F32" s="105">
        <v>2557337</v>
      </c>
      <c r="G32" s="106">
        <v>12999.97</v>
      </c>
      <c r="H32" s="107">
        <v>72304</v>
      </c>
      <c r="I32" s="108">
        <f t="shared" si="1"/>
        <v>0</v>
      </c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64"/>
      <c r="W32" s="13"/>
      <c r="X32" s="60">
        <f>J36+K36+L36+M36+N36+O36+P36+Q36+R36+T36</f>
        <v>59304.03000000001</v>
      </c>
      <c r="Y32" s="62">
        <v>0</v>
      </c>
      <c r="Z32" s="2">
        <v>0</v>
      </c>
      <c r="AA32" s="3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</row>
    <row r="33" spans="1:110" s="21" customFormat="1" ht="9.75" customHeight="1" hidden="1" thickBot="1">
      <c r="A33" s="115"/>
      <c r="B33" s="102"/>
      <c r="C33" s="103"/>
      <c r="D33" s="103"/>
      <c r="E33" s="104"/>
      <c r="F33" s="105"/>
      <c r="G33" s="106"/>
      <c r="H33" s="107"/>
      <c r="I33" s="108">
        <f t="shared" si="1"/>
        <v>0</v>
      </c>
      <c r="J33" s="2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65"/>
      <c r="W33" s="6"/>
      <c r="X33" s="61"/>
      <c r="Y33" s="63"/>
      <c r="Z33" s="7">
        <v>0</v>
      </c>
      <c r="AA33" s="8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</row>
    <row r="34" spans="1:110" s="21" customFormat="1" ht="9.75" customHeight="1" hidden="1" thickBot="1">
      <c r="A34" s="115"/>
      <c r="B34" s="102"/>
      <c r="C34" s="103"/>
      <c r="D34" s="103"/>
      <c r="E34" s="104"/>
      <c r="F34" s="105"/>
      <c r="G34" s="106"/>
      <c r="H34" s="107"/>
      <c r="I34" s="108">
        <f t="shared" si="1"/>
        <v>0</v>
      </c>
      <c r="J34" s="27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5"/>
      <c r="W34" s="6"/>
      <c r="X34" s="61"/>
      <c r="Y34" s="63"/>
      <c r="Z34" s="7">
        <v>0</v>
      </c>
      <c r="AA34" s="8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</row>
    <row r="35" spans="1:110" s="21" customFormat="1" ht="9.75" customHeight="1" hidden="1" thickBot="1">
      <c r="A35" s="115"/>
      <c r="B35" s="102"/>
      <c r="C35" s="103"/>
      <c r="D35" s="103"/>
      <c r="E35" s="104"/>
      <c r="F35" s="105"/>
      <c r="G35" s="106"/>
      <c r="H35" s="107"/>
      <c r="I35" s="108">
        <f t="shared" si="1"/>
        <v>59304.03000000001</v>
      </c>
      <c r="J35" s="27">
        <v>2411.26</v>
      </c>
      <c r="K35" s="5">
        <v>2164.05</v>
      </c>
      <c r="L35" s="5">
        <v>5820.32</v>
      </c>
      <c r="M35" s="5">
        <v>5556.06</v>
      </c>
      <c r="N35" s="5">
        <v>5732.58</v>
      </c>
      <c r="O35" s="5">
        <v>13321.13</v>
      </c>
      <c r="P35" s="5">
        <v>12340.12</v>
      </c>
      <c r="Q35" s="5">
        <v>5142.02</v>
      </c>
      <c r="R35" s="5">
        <v>4569.05</v>
      </c>
      <c r="S35" s="5"/>
      <c r="T35" s="5">
        <v>2247.44</v>
      </c>
      <c r="U35" s="5"/>
      <c r="V35" s="65"/>
      <c r="W35" s="9"/>
      <c r="X35" s="61"/>
      <c r="Y35" s="63"/>
      <c r="Z35" s="7">
        <v>0</v>
      </c>
      <c r="AA35" s="8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</row>
    <row r="36" spans="1:110" s="21" customFormat="1" ht="9.75" customHeight="1" hidden="1" thickBot="1">
      <c r="A36" s="115"/>
      <c r="B36" s="102"/>
      <c r="C36" s="103"/>
      <c r="D36" s="103"/>
      <c r="E36" s="104"/>
      <c r="F36" s="105"/>
      <c r="G36" s="106"/>
      <c r="H36" s="107"/>
      <c r="I36" s="108">
        <f t="shared" si="1"/>
        <v>59304.03000000001</v>
      </c>
      <c r="J36" s="28">
        <f>SUM(J32:J35)</f>
        <v>2411.26</v>
      </c>
      <c r="K36" s="9">
        <f aca="true" t="shared" si="7" ref="K36:U36">SUM(K32:K35)</f>
        <v>2164.05</v>
      </c>
      <c r="L36" s="9">
        <f t="shared" si="7"/>
        <v>5820.32</v>
      </c>
      <c r="M36" s="9">
        <f t="shared" si="7"/>
        <v>5556.06</v>
      </c>
      <c r="N36" s="9">
        <f t="shared" si="7"/>
        <v>5732.58</v>
      </c>
      <c r="O36" s="9">
        <f t="shared" si="7"/>
        <v>13321.13</v>
      </c>
      <c r="P36" s="9">
        <f t="shared" si="7"/>
        <v>12340.12</v>
      </c>
      <c r="Q36" s="9">
        <f t="shared" si="7"/>
        <v>5142.02</v>
      </c>
      <c r="R36" s="9">
        <f t="shared" si="7"/>
        <v>4569.05</v>
      </c>
      <c r="S36" s="9">
        <f t="shared" si="7"/>
        <v>0</v>
      </c>
      <c r="T36" s="9">
        <f t="shared" si="7"/>
        <v>2247.44</v>
      </c>
      <c r="U36" s="9">
        <f t="shared" si="7"/>
        <v>0</v>
      </c>
      <c r="V36" s="65"/>
      <c r="W36" s="9"/>
      <c r="X36" s="61"/>
      <c r="Y36" s="63"/>
      <c r="Z36" s="7">
        <f>SUM(Z32:Z35)</f>
        <v>0</v>
      </c>
      <c r="AA36" s="8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</row>
    <row r="37" spans="1:110" s="21" customFormat="1" ht="9.75" customHeight="1" hidden="1" thickBot="1">
      <c r="A37" s="115"/>
      <c r="B37" s="102"/>
      <c r="C37" s="103"/>
      <c r="D37" s="103"/>
      <c r="E37" s="104"/>
      <c r="F37" s="105"/>
      <c r="G37" s="106"/>
      <c r="H37" s="107"/>
      <c r="I37" s="116"/>
      <c r="J37" s="32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65"/>
      <c r="W37" s="22"/>
      <c r="X37" s="66"/>
      <c r="Y37" s="67"/>
      <c r="Z37" s="11"/>
      <c r="AA37" s="8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</row>
    <row r="38" spans="1:110" s="21" customFormat="1" ht="9.75" customHeight="1" hidden="1" thickBot="1">
      <c r="A38" s="101">
        <v>10</v>
      </c>
      <c r="B38" s="102" t="s">
        <v>30</v>
      </c>
      <c r="C38" s="103" t="s">
        <v>31</v>
      </c>
      <c r="D38" s="103" t="s">
        <v>32</v>
      </c>
      <c r="E38" s="104" t="s">
        <v>33</v>
      </c>
      <c r="F38" s="105">
        <v>879221</v>
      </c>
      <c r="G38" s="106">
        <v>0</v>
      </c>
      <c r="H38" s="107">
        <v>282600</v>
      </c>
      <c r="I38" s="108">
        <f aca="true" t="shared" si="8" ref="I38:I47">SUM(J38:U38)</f>
        <v>10148</v>
      </c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>
        <v>10148</v>
      </c>
      <c r="V38" s="64" t="s">
        <v>34</v>
      </c>
      <c r="W38" s="1">
        <f>H38-I42-82600</f>
        <v>193021.75</v>
      </c>
      <c r="X38" s="60">
        <f>P42+R42+U42+82600</f>
        <v>89578.25</v>
      </c>
      <c r="Y38" s="62">
        <v>0</v>
      </c>
      <c r="Z38" s="2">
        <v>0</v>
      </c>
      <c r="AA38" s="3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</row>
    <row r="39" spans="1:110" s="21" customFormat="1" ht="9.75" customHeight="1" hidden="1" thickBot="1">
      <c r="A39" s="101"/>
      <c r="B39" s="102"/>
      <c r="C39" s="103"/>
      <c r="D39" s="103"/>
      <c r="E39" s="104"/>
      <c r="F39" s="105"/>
      <c r="G39" s="106"/>
      <c r="H39" s="107"/>
      <c r="I39" s="108">
        <f t="shared" si="8"/>
        <v>-14117.2</v>
      </c>
      <c r="J39" s="27"/>
      <c r="K39" s="5"/>
      <c r="L39" s="5"/>
      <c r="M39" s="5"/>
      <c r="N39" s="5"/>
      <c r="O39" s="5"/>
      <c r="P39" s="5"/>
      <c r="Q39" s="5"/>
      <c r="R39" s="5"/>
      <c r="S39" s="5"/>
      <c r="T39" s="5"/>
      <c r="U39" s="24">
        <v>-14117.2</v>
      </c>
      <c r="V39" s="64"/>
      <c r="W39" s="6">
        <f>1-((I42+82600)/H38)</f>
        <v>0.6830210544939844</v>
      </c>
      <c r="X39" s="61"/>
      <c r="Y39" s="63"/>
      <c r="Z39" s="7">
        <v>0</v>
      </c>
      <c r="AA39" s="8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</row>
    <row r="40" spans="1:110" s="21" customFormat="1" ht="9.75" customHeight="1" hidden="1" thickBot="1">
      <c r="A40" s="101"/>
      <c r="B40" s="109"/>
      <c r="C40" s="110"/>
      <c r="D40" s="103"/>
      <c r="E40" s="111"/>
      <c r="F40" s="105"/>
      <c r="G40" s="112"/>
      <c r="H40" s="113"/>
      <c r="I40" s="108">
        <f t="shared" si="8"/>
        <v>10676.45</v>
      </c>
      <c r="J40" s="27"/>
      <c r="K40" s="5"/>
      <c r="L40" s="5"/>
      <c r="M40" s="5"/>
      <c r="N40" s="5"/>
      <c r="O40" s="5"/>
      <c r="P40" s="5">
        <v>2786.04</v>
      </c>
      <c r="Q40" s="5"/>
      <c r="R40" s="5">
        <v>7890.41</v>
      </c>
      <c r="S40" s="5"/>
      <c r="T40" s="5"/>
      <c r="U40" s="5"/>
      <c r="V40" s="64"/>
      <c r="W40" s="6"/>
      <c r="X40" s="61"/>
      <c r="Y40" s="63"/>
      <c r="Z40" s="7">
        <v>0</v>
      </c>
      <c r="AA40" s="8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</row>
    <row r="41" spans="1:110" s="21" customFormat="1" ht="9.75" customHeight="1" hidden="1" thickBot="1">
      <c r="A41" s="101"/>
      <c r="B41" s="109"/>
      <c r="C41" s="110"/>
      <c r="D41" s="103"/>
      <c r="E41" s="111"/>
      <c r="F41" s="105"/>
      <c r="G41" s="112"/>
      <c r="H41" s="113"/>
      <c r="I41" s="108">
        <f t="shared" si="8"/>
        <v>271</v>
      </c>
      <c r="J41" s="27"/>
      <c r="K41" s="5"/>
      <c r="L41" s="5"/>
      <c r="M41" s="5"/>
      <c r="N41" s="5"/>
      <c r="O41" s="5"/>
      <c r="P41" s="5"/>
      <c r="Q41" s="5"/>
      <c r="R41" s="5"/>
      <c r="S41" s="5"/>
      <c r="T41" s="5"/>
      <c r="U41" s="5">
        <v>271</v>
      </c>
      <c r="V41" s="64"/>
      <c r="W41" s="9"/>
      <c r="X41" s="61"/>
      <c r="Y41" s="63"/>
      <c r="Z41" s="7">
        <v>0</v>
      </c>
      <c r="AA41" s="8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</row>
    <row r="42" spans="1:110" s="21" customFormat="1" ht="27" customHeight="1" thickBot="1">
      <c r="A42" s="101"/>
      <c r="B42" s="109"/>
      <c r="C42" s="110"/>
      <c r="D42" s="103"/>
      <c r="E42" s="111"/>
      <c r="F42" s="105"/>
      <c r="G42" s="112"/>
      <c r="H42" s="113"/>
      <c r="I42" s="108">
        <f t="shared" si="8"/>
        <v>6978.25</v>
      </c>
      <c r="J42" s="28">
        <f>SUM(J38:J41)</f>
        <v>0</v>
      </c>
      <c r="K42" s="9">
        <f aca="true" t="shared" si="9" ref="K42:U42">SUM(K38:K41)</f>
        <v>0</v>
      </c>
      <c r="L42" s="9">
        <f t="shared" si="9"/>
        <v>0</v>
      </c>
      <c r="M42" s="9">
        <f t="shared" si="9"/>
        <v>0</v>
      </c>
      <c r="N42" s="9">
        <f t="shared" si="9"/>
        <v>0</v>
      </c>
      <c r="O42" s="9">
        <f t="shared" si="9"/>
        <v>0</v>
      </c>
      <c r="P42" s="9">
        <f t="shared" si="9"/>
        <v>2786.04</v>
      </c>
      <c r="Q42" s="9">
        <f t="shared" si="9"/>
        <v>0</v>
      </c>
      <c r="R42" s="9">
        <f t="shared" si="9"/>
        <v>7890.41</v>
      </c>
      <c r="S42" s="9">
        <f t="shared" si="9"/>
        <v>0</v>
      </c>
      <c r="T42" s="9">
        <f t="shared" si="9"/>
        <v>0</v>
      </c>
      <c r="U42" s="9">
        <f t="shared" si="9"/>
        <v>-3698.2000000000007</v>
      </c>
      <c r="V42" s="64"/>
      <c r="W42" s="9"/>
      <c r="X42" s="61"/>
      <c r="Y42" s="63"/>
      <c r="Z42" s="7">
        <f>SUM(Z38:Z41)</f>
        <v>0</v>
      </c>
      <c r="AA42" s="8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</row>
    <row r="43" spans="1:110" s="21" customFormat="1" ht="9.75" customHeight="1" hidden="1" thickBot="1">
      <c r="A43" s="101" t="s">
        <v>35</v>
      </c>
      <c r="B43" s="102" t="s">
        <v>36</v>
      </c>
      <c r="C43" s="103" t="s">
        <v>31</v>
      </c>
      <c r="D43" s="103" t="s">
        <v>32</v>
      </c>
      <c r="E43" s="104" t="s">
        <v>33</v>
      </c>
      <c r="F43" s="105"/>
      <c r="G43" s="106">
        <v>0</v>
      </c>
      <c r="H43" s="107">
        <v>477153</v>
      </c>
      <c r="I43" s="108">
        <f t="shared" si="8"/>
        <v>12041</v>
      </c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>
        <v>12041</v>
      </c>
      <c r="V43" s="64"/>
      <c r="W43" s="1">
        <f>H43-I47</f>
        <v>464791</v>
      </c>
      <c r="X43" s="60">
        <v>321</v>
      </c>
      <c r="Y43" s="62">
        <v>0</v>
      </c>
      <c r="Z43" s="2">
        <v>0</v>
      </c>
      <c r="AA43" s="3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</row>
    <row r="44" spans="1:110" s="21" customFormat="1" ht="9.75" customHeight="1" hidden="1" thickBot="1">
      <c r="A44" s="101"/>
      <c r="B44" s="102"/>
      <c r="C44" s="103"/>
      <c r="D44" s="103"/>
      <c r="E44" s="104"/>
      <c r="F44" s="105"/>
      <c r="G44" s="106"/>
      <c r="H44" s="107"/>
      <c r="I44" s="108">
        <f t="shared" si="8"/>
        <v>0</v>
      </c>
      <c r="J44" s="27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64"/>
      <c r="W44" s="6">
        <f>1-((I47)/H43)</f>
        <v>0.9740921675018286</v>
      </c>
      <c r="X44" s="61"/>
      <c r="Y44" s="63"/>
      <c r="Z44" s="7">
        <v>0</v>
      </c>
      <c r="AA44" s="8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</row>
    <row r="45" spans="1:110" s="21" customFormat="1" ht="9.75" customHeight="1" hidden="1" thickBot="1">
      <c r="A45" s="101"/>
      <c r="B45" s="109"/>
      <c r="C45" s="110"/>
      <c r="D45" s="103"/>
      <c r="E45" s="111"/>
      <c r="F45" s="105"/>
      <c r="G45" s="112"/>
      <c r="H45" s="113"/>
      <c r="I45" s="108">
        <f t="shared" si="8"/>
        <v>0</v>
      </c>
      <c r="J45" s="27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64"/>
      <c r="W45" s="6"/>
      <c r="X45" s="61"/>
      <c r="Y45" s="63"/>
      <c r="Z45" s="7">
        <v>0</v>
      </c>
      <c r="AA45" s="8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</row>
    <row r="46" spans="1:110" s="21" customFormat="1" ht="9.75" customHeight="1" hidden="1" thickBot="1">
      <c r="A46" s="101"/>
      <c r="B46" s="109"/>
      <c r="C46" s="110"/>
      <c r="D46" s="103"/>
      <c r="E46" s="111"/>
      <c r="F46" s="105"/>
      <c r="G46" s="112"/>
      <c r="H46" s="113"/>
      <c r="I46" s="108">
        <f t="shared" si="8"/>
        <v>321</v>
      </c>
      <c r="J46" s="27"/>
      <c r="K46" s="5"/>
      <c r="L46" s="5"/>
      <c r="M46" s="5"/>
      <c r="N46" s="5"/>
      <c r="O46" s="5"/>
      <c r="P46" s="5"/>
      <c r="Q46" s="5"/>
      <c r="R46" s="5"/>
      <c r="S46" s="5"/>
      <c r="T46" s="5"/>
      <c r="U46" s="5">
        <v>321</v>
      </c>
      <c r="V46" s="64"/>
      <c r="W46" s="9"/>
      <c r="X46" s="61"/>
      <c r="Y46" s="63"/>
      <c r="Z46" s="7">
        <v>0</v>
      </c>
      <c r="AA46" s="8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</row>
    <row r="47" spans="1:110" s="21" customFormat="1" ht="9.75" customHeight="1" hidden="1" thickBot="1">
      <c r="A47" s="101"/>
      <c r="B47" s="109"/>
      <c r="C47" s="110"/>
      <c r="D47" s="103"/>
      <c r="E47" s="111"/>
      <c r="F47" s="105"/>
      <c r="G47" s="112"/>
      <c r="H47" s="113"/>
      <c r="I47" s="108">
        <f t="shared" si="8"/>
        <v>12362</v>
      </c>
      <c r="J47" s="28">
        <f aca="true" t="shared" si="10" ref="J47:U47">SUM(J43:J46)</f>
        <v>0</v>
      </c>
      <c r="K47" s="9">
        <f t="shared" si="10"/>
        <v>0</v>
      </c>
      <c r="L47" s="9">
        <f t="shared" si="10"/>
        <v>0</v>
      </c>
      <c r="M47" s="9">
        <f t="shared" si="10"/>
        <v>0</v>
      </c>
      <c r="N47" s="9">
        <f t="shared" si="10"/>
        <v>0</v>
      </c>
      <c r="O47" s="9">
        <f t="shared" si="10"/>
        <v>0</v>
      </c>
      <c r="P47" s="9">
        <f t="shared" si="10"/>
        <v>0</v>
      </c>
      <c r="Q47" s="9">
        <f t="shared" si="10"/>
        <v>0</v>
      </c>
      <c r="R47" s="9">
        <f t="shared" si="10"/>
        <v>0</v>
      </c>
      <c r="S47" s="9">
        <f t="shared" si="10"/>
        <v>0</v>
      </c>
      <c r="T47" s="9">
        <f t="shared" si="10"/>
        <v>0</v>
      </c>
      <c r="U47" s="9">
        <f t="shared" si="10"/>
        <v>12362</v>
      </c>
      <c r="V47" s="64"/>
      <c r="W47" s="9"/>
      <c r="X47" s="61"/>
      <c r="Y47" s="63"/>
      <c r="Z47" s="7">
        <f>SUM(Z43:Z46)</f>
        <v>0</v>
      </c>
      <c r="AA47" s="8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</row>
    <row r="48" spans="1:110" s="21" customFormat="1" ht="9.75" customHeight="1" hidden="1" thickBot="1">
      <c r="A48" s="101"/>
      <c r="B48" s="109"/>
      <c r="C48" s="110"/>
      <c r="D48" s="103"/>
      <c r="E48" s="111"/>
      <c r="F48" s="105"/>
      <c r="G48" s="112"/>
      <c r="H48" s="113"/>
      <c r="I48" s="116"/>
      <c r="J48" s="32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64"/>
      <c r="W48" s="25"/>
      <c r="X48" s="66"/>
      <c r="Y48" s="67"/>
      <c r="Z48" s="11"/>
      <c r="AA48" s="8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</row>
    <row r="49" spans="1:110" s="21" customFormat="1" ht="9.75" customHeight="1" hidden="1" thickBot="1">
      <c r="A49" s="101">
        <v>10</v>
      </c>
      <c r="B49" s="102" t="s">
        <v>37</v>
      </c>
      <c r="C49" s="103" t="s">
        <v>38</v>
      </c>
      <c r="D49" s="103" t="s">
        <v>39</v>
      </c>
      <c r="E49" s="104" t="s">
        <v>40</v>
      </c>
      <c r="F49" s="105">
        <v>811345</v>
      </c>
      <c r="G49" s="106">
        <v>262867.87</v>
      </c>
      <c r="H49" s="107">
        <v>325000</v>
      </c>
      <c r="I49" s="108">
        <f aca="true" t="shared" si="11" ref="I49:I58">SUM(J49:U49)</f>
        <v>305333.86000000004</v>
      </c>
      <c r="J49" s="2"/>
      <c r="K49" s="1"/>
      <c r="L49" s="1"/>
      <c r="M49" s="1"/>
      <c r="N49" s="1"/>
      <c r="O49" s="1"/>
      <c r="P49" s="1"/>
      <c r="Q49" s="1">
        <v>113293.63</v>
      </c>
      <c r="R49" s="1">
        <v>122393.01</v>
      </c>
      <c r="S49" s="1">
        <v>59594.01</v>
      </c>
      <c r="T49" s="1">
        <v>10053.21</v>
      </c>
      <c r="U49" s="1"/>
      <c r="V49" s="64"/>
      <c r="W49" s="1">
        <f>H49-I53</f>
        <v>7403.349999999977</v>
      </c>
      <c r="X49" s="60">
        <f>Q53+R53</f>
        <v>244921.78</v>
      </c>
      <c r="Y49" s="62">
        <f>S53+T53</f>
        <v>72674.87</v>
      </c>
      <c r="Z49" s="2">
        <f>S49+T49</f>
        <v>69647.22</v>
      </c>
      <c r="AA49" s="3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</row>
    <row r="50" spans="1:110" s="21" customFormat="1" ht="9.75" customHeight="1" hidden="1" thickBot="1">
      <c r="A50" s="101"/>
      <c r="B50" s="102"/>
      <c r="C50" s="103"/>
      <c r="D50" s="103"/>
      <c r="E50" s="104"/>
      <c r="F50" s="105"/>
      <c r="G50" s="106"/>
      <c r="H50" s="107"/>
      <c r="I50" s="108">
        <f t="shared" si="11"/>
        <v>0</v>
      </c>
      <c r="J50" s="27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64"/>
      <c r="W50" s="6">
        <f>1-(I53/H49)</f>
        <v>0.02277953846153835</v>
      </c>
      <c r="X50" s="61"/>
      <c r="Y50" s="63"/>
      <c r="Z50" s="7">
        <v>0</v>
      </c>
      <c r="AA50" s="8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</row>
    <row r="51" spans="1:110" s="21" customFormat="1" ht="9.75" customHeight="1" hidden="1" thickBot="1">
      <c r="A51" s="101"/>
      <c r="B51" s="109"/>
      <c r="C51" s="110"/>
      <c r="D51" s="103"/>
      <c r="E51" s="111"/>
      <c r="F51" s="105"/>
      <c r="G51" s="112"/>
      <c r="H51" s="113"/>
      <c r="I51" s="108">
        <f t="shared" si="11"/>
        <v>0</v>
      </c>
      <c r="J51" s="27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65"/>
      <c r="W51" s="6"/>
      <c r="X51" s="61"/>
      <c r="Y51" s="63"/>
      <c r="Z51" s="7">
        <v>0</v>
      </c>
      <c r="AA51" s="8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</row>
    <row r="52" spans="1:110" s="21" customFormat="1" ht="9.75" customHeight="1" hidden="1" thickBot="1">
      <c r="A52" s="101"/>
      <c r="B52" s="109"/>
      <c r="C52" s="110"/>
      <c r="D52" s="103"/>
      <c r="E52" s="111"/>
      <c r="F52" s="105"/>
      <c r="G52" s="112"/>
      <c r="H52" s="113"/>
      <c r="I52" s="108">
        <f t="shared" si="11"/>
        <v>12262.789999999999</v>
      </c>
      <c r="J52" s="27"/>
      <c r="K52" s="5"/>
      <c r="L52" s="5"/>
      <c r="M52" s="5"/>
      <c r="N52" s="5"/>
      <c r="O52" s="5"/>
      <c r="P52" s="5"/>
      <c r="Q52" s="5">
        <v>3727.45</v>
      </c>
      <c r="R52" s="5">
        <v>5507.69</v>
      </c>
      <c r="S52" s="5">
        <v>2681.72</v>
      </c>
      <c r="T52" s="5">
        <v>345.93</v>
      </c>
      <c r="U52" s="5"/>
      <c r="V52" s="65"/>
      <c r="W52" s="9"/>
      <c r="X52" s="61"/>
      <c r="Y52" s="63"/>
      <c r="Z52" s="7">
        <f>S52+T52</f>
        <v>3027.6499999999996</v>
      </c>
      <c r="AA52" s="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</row>
    <row r="53" spans="1:110" s="21" customFormat="1" ht="27" customHeight="1" thickBot="1">
      <c r="A53" s="101"/>
      <c r="B53" s="109"/>
      <c r="C53" s="110"/>
      <c r="D53" s="103"/>
      <c r="E53" s="111"/>
      <c r="F53" s="105"/>
      <c r="G53" s="112"/>
      <c r="H53" s="113"/>
      <c r="I53" s="108">
        <f t="shared" si="11"/>
        <v>317596.65</v>
      </c>
      <c r="J53" s="28">
        <f aca="true" t="shared" si="12" ref="J53:U53">SUM(J49:J52)</f>
        <v>0</v>
      </c>
      <c r="K53" s="9">
        <f t="shared" si="12"/>
        <v>0</v>
      </c>
      <c r="L53" s="9">
        <f t="shared" si="12"/>
        <v>0</v>
      </c>
      <c r="M53" s="9">
        <f t="shared" si="12"/>
        <v>0</v>
      </c>
      <c r="N53" s="9">
        <f t="shared" si="12"/>
        <v>0</v>
      </c>
      <c r="O53" s="9">
        <f t="shared" si="12"/>
        <v>0</v>
      </c>
      <c r="P53" s="9">
        <f t="shared" si="12"/>
        <v>0</v>
      </c>
      <c r="Q53" s="9">
        <f t="shared" si="12"/>
        <v>117021.08</v>
      </c>
      <c r="R53" s="9">
        <f t="shared" si="12"/>
        <v>127900.7</v>
      </c>
      <c r="S53" s="9">
        <f t="shared" si="12"/>
        <v>62275.73</v>
      </c>
      <c r="T53" s="9">
        <f t="shared" si="12"/>
        <v>10399.14</v>
      </c>
      <c r="U53" s="9">
        <f t="shared" si="12"/>
        <v>0</v>
      </c>
      <c r="V53" s="65"/>
      <c r="W53" s="9"/>
      <c r="X53" s="61"/>
      <c r="Y53" s="63"/>
      <c r="Z53" s="7">
        <f>SUM(Z49:Z52)</f>
        <v>72674.87</v>
      </c>
      <c r="AA53" s="8">
        <v>30078.22</v>
      </c>
      <c r="AB53" s="4" t="s">
        <v>21</v>
      </c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</row>
    <row r="54" spans="1:110" s="21" customFormat="1" ht="9.75" customHeight="1" hidden="1" thickBot="1">
      <c r="A54" s="101">
        <v>10</v>
      </c>
      <c r="B54" s="102" t="s">
        <v>41</v>
      </c>
      <c r="C54" s="103" t="s">
        <v>42</v>
      </c>
      <c r="D54" s="103" t="s">
        <v>43</v>
      </c>
      <c r="E54" s="104" t="s">
        <v>44</v>
      </c>
      <c r="F54" s="105">
        <v>603110.9</v>
      </c>
      <c r="G54" s="106">
        <v>0</v>
      </c>
      <c r="H54" s="107">
        <v>850000</v>
      </c>
      <c r="I54" s="108">
        <f t="shared" si="11"/>
        <v>136197</v>
      </c>
      <c r="J54" s="2"/>
      <c r="K54" s="1"/>
      <c r="L54" s="1"/>
      <c r="M54" s="1"/>
      <c r="N54" s="1"/>
      <c r="O54" s="1"/>
      <c r="P54" s="1"/>
      <c r="Q54" s="1"/>
      <c r="R54" s="1">
        <v>40822</v>
      </c>
      <c r="S54" s="1"/>
      <c r="T54" s="1">
        <v>95375</v>
      </c>
      <c r="U54" s="1"/>
      <c r="V54" s="64"/>
      <c r="W54" s="1">
        <f>H54-I58</f>
        <v>709716</v>
      </c>
      <c r="X54" s="60">
        <f>R58+51953</f>
        <v>94000</v>
      </c>
      <c r="Y54" s="62">
        <f>T58-51953</f>
        <v>46284</v>
      </c>
      <c r="Z54" s="2">
        <f>T54-51953</f>
        <v>43422</v>
      </c>
      <c r="AA54" s="3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</row>
    <row r="55" spans="1:110" s="21" customFormat="1" ht="9.75" customHeight="1" hidden="1" thickBot="1">
      <c r="A55" s="101"/>
      <c r="B55" s="102"/>
      <c r="C55" s="103"/>
      <c r="D55" s="103"/>
      <c r="E55" s="104"/>
      <c r="F55" s="105"/>
      <c r="G55" s="106"/>
      <c r="H55" s="107"/>
      <c r="I55" s="108">
        <f t="shared" si="11"/>
        <v>0</v>
      </c>
      <c r="J55" s="27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64"/>
      <c r="W55" s="6">
        <f>1-(I58/H54)</f>
        <v>0.83496</v>
      </c>
      <c r="X55" s="61"/>
      <c r="Y55" s="63"/>
      <c r="Z55" s="7">
        <v>0</v>
      </c>
      <c r="AA55" s="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</row>
    <row r="56" spans="1:110" s="21" customFormat="1" ht="9.75" customHeight="1" hidden="1" thickBot="1">
      <c r="A56" s="101"/>
      <c r="B56" s="109"/>
      <c r="C56" s="110"/>
      <c r="D56" s="103"/>
      <c r="E56" s="111"/>
      <c r="F56" s="105"/>
      <c r="G56" s="112"/>
      <c r="H56" s="113"/>
      <c r="I56" s="108">
        <f t="shared" si="11"/>
        <v>0</v>
      </c>
      <c r="J56" s="27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64"/>
      <c r="W56" s="6"/>
      <c r="X56" s="61"/>
      <c r="Y56" s="63"/>
      <c r="Z56" s="7">
        <v>0</v>
      </c>
      <c r="AA56" s="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</row>
    <row r="57" spans="1:110" s="21" customFormat="1" ht="9.75" customHeight="1" hidden="1" thickBot="1">
      <c r="A57" s="101"/>
      <c r="B57" s="109"/>
      <c r="C57" s="110"/>
      <c r="D57" s="103"/>
      <c r="E57" s="111"/>
      <c r="F57" s="105"/>
      <c r="G57" s="112"/>
      <c r="H57" s="113"/>
      <c r="I57" s="108">
        <f t="shared" si="11"/>
        <v>4087</v>
      </c>
      <c r="J57" s="27"/>
      <c r="K57" s="5"/>
      <c r="L57" s="5"/>
      <c r="M57" s="5"/>
      <c r="N57" s="5"/>
      <c r="O57" s="5"/>
      <c r="P57" s="5"/>
      <c r="Q57" s="5"/>
      <c r="R57" s="5">
        <v>1225</v>
      </c>
      <c r="S57" s="5"/>
      <c r="T57" s="5">
        <v>2862</v>
      </c>
      <c r="U57" s="5"/>
      <c r="V57" s="64"/>
      <c r="W57" s="9"/>
      <c r="X57" s="61"/>
      <c r="Y57" s="63"/>
      <c r="Z57" s="7">
        <f>T57</f>
        <v>2862</v>
      </c>
      <c r="AA57" s="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</row>
    <row r="58" spans="1:110" s="21" customFormat="1" ht="42" customHeight="1" thickBot="1">
      <c r="A58" s="101"/>
      <c r="B58" s="109"/>
      <c r="C58" s="110"/>
      <c r="D58" s="103"/>
      <c r="E58" s="111"/>
      <c r="F58" s="105"/>
      <c r="G58" s="112"/>
      <c r="H58" s="113"/>
      <c r="I58" s="108">
        <f t="shared" si="11"/>
        <v>140284</v>
      </c>
      <c r="J58" s="28">
        <f>SUM(J54:J57)</f>
        <v>0</v>
      </c>
      <c r="K58" s="9">
        <f aca="true" t="shared" si="13" ref="K58:U58">SUM(K54:K57)</f>
        <v>0</v>
      </c>
      <c r="L58" s="9">
        <f t="shared" si="13"/>
        <v>0</v>
      </c>
      <c r="M58" s="9">
        <f t="shared" si="13"/>
        <v>0</v>
      </c>
      <c r="N58" s="9">
        <f t="shared" si="13"/>
        <v>0</v>
      </c>
      <c r="O58" s="9">
        <f t="shared" si="13"/>
        <v>0</v>
      </c>
      <c r="P58" s="9">
        <f t="shared" si="13"/>
        <v>0</v>
      </c>
      <c r="Q58" s="9">
        <f t="shared" si="13"/>
        <v>0</v>
      </c>
      <c r="R58" s="9">
        <f t="shared" si="13"/>
        <v>42047</v>
      </c>
      <c r="S58" s="9">
        <f t="shared" si="13"/>
        <v>0</v>
      </c>
      <c r="T58" s="9">
        <f t="shared" si="13"/>
        <v>98237</v>
      </c>
      <c r="U58" s="9">
        <f t="shared" si="13"/>
        <v>0</v>
      </c>
      <c r="V58" s="64"/>
      <c r="W58" s="9"/>
      <c r="X58" s="61"/>
      <c r="Y58" s="63"/>
      <c r="Z58" s="7">
        <f>SUM(Z54:Z57)</f>
        <v>46284</v>
      </c>
      <c r="AA58" s="8">
        <v>6000</v>
      </c>
      <c r="AB58" s="4" t="s">
        <v>21</v>
      </c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</row>
    <row r="59" spans="1:110" s="21" customFormat="1" ht="9.75" customHeight="1" hidden="1">
      <c r="A59" s="117">
        <v>10</v>
      </c>
      <c r="B59" s="118" t="s">
        <v>45</v>
      </c>
      <c r="C59" s="119"/>
      <c r="D59" s="119"/>
      <c r="E59" s="120"/>
      <c r="F59" s="121"/>
      <c r="G59" s="122"/>
      <c r="H59" s="123">
        <v>296402.69</v>
      </c>
      <c r="I59" s="124">
        <f>I64+I74+I84+I95</f>
        <v>277532.86</v>
      </c>
      <c r="J59" s="2"/>
      <c r="K59" s="1"/>
      <c r="L59" s="1"/>
      <c r="M59" s="1"/>
      <c r="N59" s="1"/>
      <c r="O59" s="1"/>
      <c r="P59" s="1"/>
      <c r="Q59" s="1"/>
      <c r="R59" s="1">
        <f>R64+R74+R84+R95</f>
        <v>24584.01</v>
      </c>
      <c r="S59" s="1">
        <f>S64+S74+S84+S95</f>
        <v>97475.26999999999</v>
      </c>
      <c r="T59" s="1">
        <f>T64+T74+T84+T95</f>
        <v>88613.6</v>
      </c>
      <c r="U59" s="1">
        <f>U64+U74+U84+U95</f>
        <v>66859.98</v>
      </c>
      <c r="V59" s="68"/>
      <c r="W59" s="1">
        <f>H59-I63</f>
        <v>6380.840000000026</v>
      </c>
      <c r="X59" s="60">
        <f>X64+X74+X84+X95</f>
        <v>150000</v>
      </c>
      <c r="Y59" s="62">
        <f>Y64+Y74+Y84+Y95</f>
        <v>140021.84999999998</v>
      </c>
      <c r="Z59" s="2">
        <f>Z64+Z74+Z84+Z95</f>
        <v>133025.53</v>
      </c>
      <c r="AA59" s="3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</row>
    <row r="60" spans="1:110" s="21" customFormat="1" ht="9.75" customHeight="1" hidden="1">
      <c r="A60" s="117"/>
      <c r="B60" s="118"/>
      <c r="C60" s="119"/>
      <c r="D60" s="119"/>
      <c r="E60" s="120"/>
      <c r="F60" s="121"/>
      <c r="G60" s="122"/>
      <c r="H60" s="123"/>
      <c r="I60" s="124">
        <f>I65+I75+I85+I96</f>
        <v>0</v>
      </c>
      <c r="J60" s="27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69"/>
      <c r="W60" s="6">
        <f>1-(I63/H59)</f>
        <v>0.021527604894544083</v>
      </c>
      <c r="X60" s="61"/>
      <c r="Y60" s="63"/>
      <c r="Z60" s="7">
        <f>Z65+Z75+Z85+Z96</f>
        <v>0</v>
      </c>
      <c r="AA60" s="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</row>
    <row r="61" spans="1:110" s="21" customFormat="1" ht="9.75" customHeight="1" hidden="1">
      <c r="A61" s="117"/>
      <c r="B61" s="125"/>
      <c r="C61" s="126"/>
      <c r="D61" s="119"/>
      <c r="E61" s="120"/>
      <c r="F61" s="121"/>
      <c r="G61" s="122"/>
      <c r="H61" s="123"/>
      <c r="I61" s="124">
        <f>I66+I76+I86+I97</f>
        <v>0</v>
      </c>
      <c r="J61" s="27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69"/>
      <c r="W61" s="6"/>
      <c r="X61" s="61"/>
      <c r="Y61" s="63"/>
      <c r="Z61" s="7">
        <f>Z66+Z76+Z86+Z97</f>
        <v>0</v>
      </c>
      <c r="AA61" s="8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</row>
    <row r="62" spans="1:110" s="21" customFormat="1" ht="9.75" customHeight="1" hidden="1">
      <c r="A62" s="117"/>
      <c r="B62" s="125"/>
      <c r="C62" s="126"/>
      <c r="D62" s="119"/>
      <c r="E62" s="120"/>
      <c r="F62" s="121"/>
      <c r="G62" s="122"/>
      <c r="H62" s="123"/>
      <c r="I62" s="124">
        <f>I67+I77+I87+I98</f>
        <v>12488.99</v>
      </c>
      <c r="J62" s="27"/>
      <c r="K62" s="5"/>
      <c r="L62" s="5"/>
      <c r="M62" s="5"/>
      <c r="N62" s="5"/>
      <c r="O62" s="5"/>
      <c r="P62" s="5"/>
      <c r="Q62" s="5"/>
      <c r="R62" s="5">
        <f aca="true" t="shared" si="14" ref="R62:U63">R67+R77+R87+R98</f>
        <v>1106.28</v>
      </c>
      <c r="S62" s="5">
        <f t="shared" si="14"/>
        <v>4386.389999999999</v>
      </c>
      <c r="T62" s="5">
        <f t="shared" si="14"/>
        <v>3987.62</v>
      </c>
      <c r="U62" s="5">
        <f t="shared" si="14"/>
        <v>3008.7</v>
      </c>
      <c r="V62" s="69"/>
      <c r="W62" s="9"/>
      <c r="X62" s="61"/>
      <c r="Y62" s="63"/>
      <c r="Z62" s="7">
        <f>Z67+Z77+Z87+Z98</f>
        <v>6996.32</v>
      </c>
      <c r="AA62" s="8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</row>
    <row r="63" spans="1:110" s="21" customFormat="1" ht="27" customHeight="1" thickBot="1">
      <c r="A63" s="117"/>
      <c r="B63" s="125"/>
      <c r="C63" s="126"/>
      <c r="D63" s="119"/>
      <c r="E63" s="120"/>
      <c r="F63" s="121"/>
      <c r="G63" s="122"/>
      <c r="H63" s="123"/>
      <c r="I63" s="124">
        <f>I68+I78+I88+I99</f>
        <v>290021.85</v>
      </c>
      <c r="J63" s="28">
        <f aca="true" t="shared" si="15" ref="J63:Q63">J68+J78+J88+J99</f>
        <v>0</v>
      </c>
      <c r="K63" s="9">
        <f t="shared" si="15"/>
        <v>0</v>
      </c>
      <c r="L63" s="9">
        <f t="shared" si="15"/>
        <v>0</v>
      </c>
      <c r="M63" s="9">
        <f t="shared" si="15"/>
        <v>0</v>
      </c>
      <c r="N63" s="9">
        <f t="shared" si="15"/>
        <v>0</v>
      </c>
      <c r="O63" s="9">
        <f t="shared" si="15"/>
        <v>0</v>
      </c>
      <c r="P63" s="9">
        <f t="shared" si="15"/>
        <v>0</v>
      </c>
      <c r="Q63" s="9">
        <f t="shared" si="15"/>
        <v>0</v>
      </c>
      <c r="R63" s="9">
        <f t="shared" si="14"/>
        <v>25690.289999999997</v>
      </c>
      <c r="S63" s="9">
        <f t="shared" si="14"/>
        <v>101861.66</v>
      </c>
      <c r="T63" s="9">
        <f t="shared" si="14"/>
        <v>92601.22</v>
      </c>
      <c r="U63" s="9">
        <f t="shared" si="14"/>
        <v>69868.68</v>
      </c>
      <c r="V63" s="69"/>
      <c r="W63" s="9"/>
      <c r="X63" s="61"/>
      <c r="Y63" s="63"/>
      <c r="Z63" s="7">
        <f>Z68+Z78+Z88+Z99</f>
        <v>140021.84999999998</v>
      </c>
      <c r="AA63" s="8">
        <v>140021.85</v>
      </c>
      <c r="AB63" s="4" t="s">
        <v>3</v>
      </c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</row>
    <row r="64" spans="1:110" s="15" customFormat="1" ht="9.75" customHeight="1" hidden="1" thickBot="1">
      <c r="A64" s="130">
        <v>10</v>
      </c>
      <c r="B64" s="38" t="s">
        <v>46</v>
      </c>
      <c r="C64" s="39" t="s">
        <v>47</v>
      </c>
      <c r="D64" s="39" t="s">
        <v>48</v>
      </c>
      <c r="E64" s="50" t="s">
        <v>49</v>
      </c>
      <c r="F64" s="51">
        <v>56667</v>
      </c>
      <c r="G64" s="52">
        <v>0</v>
      </c>
      <c r="H64" s="55">
        <v>28333</v>
      </c>
      <c r="I64" s="34">
        <f aca="true" t="shared" si="16" ref="I64:I93">SUM(J64:U64)</f>
        <v>27112.51</v>
      </c>
      <c r="J64" s="29"/>
      <c r="K64" s="12"/>
      <c r="L64" s="12"/>
      <c r="M64" s="12"/>
      <c r="N64" s="12"/>
      <c r="O64" s="12"/>
      <c r="P64" s="12"/>
      <c r="Q64" s="12"/>
      <c r="R64" s="12"/>
      <c r="S64" s="12">
        <v>27112.51</v>
      </c>
      <c r="T64" s="12"/>
      <c r="U64" s="12"/>
      <c r="V64" s="72"/>
      <c r="W64" s="1">
        <f>H64-I68</f>
        <v>0.43000000000029104</v>
      </c>
      <c r="X64" s="73">
        <f>S68</f>
        <v>28332.57</v>
      </c>
      <c r="Y64" s="42">
        <v>0</v>
      </c>
      <c r="Z64" s="2">
        <v>0</v>
      </c>
      <c r="AA64" s="3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</row>
    <row r="65" spans="1:110" s="15" customFormat="1" ht="9.75" customHeight="1" hidden="1" thickBot="1">
      <c r="A65" s="130"/>
      <c r="B65" s="38"/>
      <c r="C65" s="39"/>
      <c r="D65" s="39"/>
      <c r="E65" s="50"/>
      <c r="F65" s="51"/>
      <c r="G65" s="52"/>
      <c r="H65" s="55"/>
      <c r="I65" s="34">
        <f t="shared" si="16"/>
        <v>0</v>
      </c>
      <c r="J65" s="30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72"/>
      <c r="W65" s="18">
        <f>1-(I68/H64)</f>
        <v>1.5176649137083054E-05</v>
      </c>
      <c r="X65" s="74"/>
      <c r="Y65" s="43"/>
      <c r="Z65" s="7">
        <v>0</v>
      </c>
      <c r="AA65" s="8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</row>
    <row r="66" spans="1:110" s="15" customFormat="1" ht="9.75" customHeight="1" hidden="1" thickBot="1">
      <c r="A66" s="130"/>
      <c r="B66" s="70"/>
      <c r="C66" s="71"/>
      <c r="D66" s="39"/>
      <c r="E66" s="50"/>
      <c r="F66" s="51"/>
      <c r="G66" s="52"/>
      <c r="H66" s="55"/>
      <c r="I66" s="34">
        <f t="shared" si="16"/>
        <v>0</v>
      </c>
      <c r="J66" s="30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72"/>
      <c r="W66" s="18"/>
      <c r="X66" s="74"/>
      <c r="Y66" s="43"/>
      <c r="Z66" s="7">
        <v>0</v>
      </c>
      <c r="AA66" s="8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</row>
    <row r="67" spans="1:110" s="15" customFormat="1" ht="9.75" customHeight="1" hidden="1" thickBot="1">
      <c r="A67" s="130"/>
      <c r="B67" s="70"/>
      <c r="C67" s="71"/>
      <c r="D67" s="39"/>
      <c r="E67" s="50"/>
      <c r="F67" s="51"/>
      <c r="G67" s="52"/>
      <c r="H67" s="55"/>
      <c r="I67" s="34">
        <f t="shared" si="16"/>
        <v>1220.06</v>
      </c>
      <c r="J67" s="30"/>
      <c r="K67" s="17"/>
      <c r="L67" s="17"/>
      <c r="M67" s="17"/>
      <c r="N67" s="17"/>
      <c r="O67" s="17"/>
      <c r="P67" s="17"/>
      <c r="Q67" s="17"/>
      <c r="R67" s="17"/>
      <c r="S67" s="17">
        <v>1220.06</v>
      </c>
      <c r="T67" s="17"/>
      <c r="U67" s="17"/>
      <c r="V67" s="72"/>
      <c r="W67" s="19"/>
      <c r="X67" s="74"/>
      <c r="Y67" s="43"/>
      <c r="Z67" s="7">
        <v>0</v>
      </c>
      <c r="AA67" s="8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</row>
    <row r="68" spans="1:110" s="15" customFormat="1" ht="42" customHeight="1" thickBot="1">
      <c r="A68" s="130"/>
      <c r="B68" s="70"/>
      <c r="C68" s="71"/>
      <c r="D68" s="39"/>
      <c r="E68" s="50"/>
      <c r="F68" s="51"/>
      <c r="G68" s="52"/>
      <c r="H68" s="55"/>
      <c r="I68" s="34">
        <f t="shared" si="16"/>
        <v>28332.57</v>
      </c>
      <c r="J68" s="31">
        <f aca="true" t="shared" si="17" ref="J68:T68">SUM(J64:J67)</f>
        <v>0</v>
      </c>
      <c r="K68" s="19">
        <f t="shared" si="17"/>
        <v>0</v>
      </c>
      <c r="L68" s="19">
        <f t="shared" si="17"/>
        <v>0</v>
      </c>
      <c r="M68" s="19">
        <f t="shared" si="17"/>
        <v>0</v>
      </c>
      <c r="N68" s="19">
        <f t="shared" si="17"/>
        <v>0</v>
      </c>
      <c r="O68" s="19">
        <f t="shared" si="17"/>
        <v>0</v>
      </c>
      <c r="P68" s="19">
        <f t="shared" si="17"/>
        <v>0</v>
      </c>
      <c r="Q68" s="19">
        <f t="shared" si="17"/>
        <v>0</v>
      </c>
      <c r="R68" s="19">
        <f t="shared" si="17"/>
        <v>0</v>
      </c>
      <c r="S68" s="19">
        <f t="shared" si="17"/>
        <v>28332.57</v>
      </c>
      <c r="T68" s="19">
        <f t="shared" si="17"/>
        <v>0</v>
      </c>
      <c r="U68" s="19">
        <f>SUM(U64:U67)</f>
        <v>0</v>
      </c>
      <c r="V68" s="72"/>
      <c r="W68" s="19"/>
      <c r="X68" s="74"/>
      <c r="Y68" s="43"/>
      <c r="Z68" s="7">
        <f>SUM(Z64:Z67)</f>
        <v>0</v>
      </c>
      <c r="AA68" s="8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</row>
    <row r="69" spans="1:110" s="15" customFormat="1" ht="9.75" customHeight="1" hidden="1" thickBot="1">
      <c r="A69" s="75" t="s">
        <v>50</v>
      </c>
      <c r="B69" s="38" t="s">
        <v>46</v>
      </c>
      <c r="C69" s="39" t="s">
        <v>51</v>
      </c>
      <c r="D69" s="39" t="s">
        <v>52</v>
      </c>
      <c r="E69" s="50" t="s">
        <v>53</v>
      </c>
      <c r="F69" s="51"/>
      <c r="G69" s="52"/>
      <c r="H69" s="55">
        <v>28334</v>
      </c>
      <c r="I69" s="34">
        <f t="shared" si="16"/>
        <v>27113.79</v>
      </c>
      <c r="J69" s="29"/>
      <c r="K69" s="12"/>
      <c r="L69" s="12"/>
      <c r="M69" s="12"/>
      <c r="N69" s="12"/>
      <c r="O69" s="12"/>
      <c r="P69" s="12"/>
      <c r="Q69" s="12"/>
      <c r="R69" s="12"/>
      <c r="S69" s="12">
        <v>27113.79</v>
      </c>
      <c r="T69" s="12"/>
      <c r="U69" s="12"/>
      <c r="V69" s="72"/>
      <c r="W69" s="1">
        <f>H69-I73</f>
        <v>0.09000000000014552</v>
      </c>
      <c r="X69" s="73">
        <f>S73</f>
        <v>28333.91</v>
      </c>
      <c r="Y69" s="42">
        <v>0</v>
      </c>
      <c r="Z69" s="2">
        <v>0</v>
      </c>
      <c r="AA69" s="3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</row>
    <row r="70" spans="1:110" s="15" customFormat="1" ht="9.75" customHeight="1" hidden="1" thickBot="1">
      <c r="A70" s="75"/>
      <c r="B70" s="38"/>
      <c r="C70" s="39"/>
      <c r="D70" s="39"/>
      <c r="E70" s="50"/>
      <c r="F70" s="51"/>
      <c r="G70" s="52"/>
      <c r="H70" s="55"/>
      <c r="I70" s="34">
        <f t="shared" si="16"/>
        <v>0</v>
      </c>
      <c r="J70" s="30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72"/>
      <c r="W70" s="18">
        <f>1-(I73/H69)</f>
        <v>3.1763958495689693E-06</v>
      </c>
      <c r="X70" s="74"/>
      <c r="Y70" s="43"/>
      <c r="Z70" s="7">
        <v>0</v>
      </c>
      <c r="AA70" s="8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</row>
    <row r="71" spans="1:110" s="15" customFormat="1" ht="9.75" customHeight="1" hidden="1" thickBot="1">
      <c r="A71" s="75"/>
      <c r="B71" s="70"/>
      <c r="C71" s="71"/>
      <c r="D71" s="39"/>
      <c r="E71" s="50"/>
      <c r="F71" s="51"/>
      <c r="G71" s="52"/>
      <c r="H71" s="55"/>
      <c r="I71" s="34">
        <f t="shared" si="16"/>
        <v>0</v>
      </c>
      <c r="J71" s="30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72"/>
      <c r="W71" s="18"/>
      <c r="X71" s="74"/>
      <c r="Y71" s="43"/>
      <c r="Z71" s="7">
        <v>0</v>
      </c>
      <c r="AA71" s="8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</row>
    <row r="72" spans="1:110" s="15" customFormat="1" ht="9.75" customHeight="1" hidden="1" thickBot="1">
      <c r="A72" s="75"/>
      <c r="B72" s="70"/>
      <c r="C72" s="71"/>
      <c r="D72" s="39"/>
      <c r="E72" s="50"/>
      <c r="F72" s="51"/>
      <c r="G72" s="52"/>
      <c r="H72" s="55"/>
      <c r="I72" s="34">
        <f t="shared" si="16"/>
        <v>1220.12</v>
      </c>
      <c r="J72" s="30"/>
      <c r="K72" s="17"/>
      <c r="L72" s="17"/>
      <c r="M72" s="17"/>
      <c r="N72" s="17"/>
      <c r="O72" s="17"/>
      <c r="P72" s="17"/>
      <c r="Q72" s="17"/>
      <c r="R72" s="17"/>
      <c r="S72" s="17">
        <v>1220.12</v>
      </c>
      <c r="T72" s="17"/>
      <c r="U72" s="17"/>
      <c r="V72" s="72"/>
      <c r="W72" s="19"/>
      <c r="X72" s="74"/>
      <c r="Y72" s="43"/>
      <c r="Z72" s="7">
        <v>0</v>
      </c>
      <c r="AA72" s="8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</row>
    <row r="73" spans="1:110" s="15" customFormat="1" ht="42" customHeight="1" thickBot="1">
      <c r="A73" s="75"/>
      <c r="B73" s="70"/>
      <c r="C73" s="71"/>
      <c r="D73" s="39"/>
      <c r="E73" s="50"/>
      <c r="F73" s="51"/>
      <c r="G73" s="52"/>
      <c r="H73" s="55"/>
      <c r="I73" s="34">
        <f t="shared" si="16"/>
        <v>28333.91</v>
      </c>
      <c r="J73" s="31">
        <f aca="true" t="shared" si="18" ref="J73:T73">SUM(J69:J72)</f>
        <v>0</v>
      </c>
      <c r="K73" s="19">
        <f t="shared" si="18"/>
        <v>0</v>
      </c>
      <c r="L73" s="19">
        <f t="shared" si="18"/>
        <v>0</v>
      </c>
      <c r="M73" s="19">
        <f t="shared" si="18"/>
        <v>0</v>
      </c>
      <c r="N73" s="19">
        <f t="shared" si="18"/>
        <v>0</v>
      </c>
      <c r="O73" s="19">
        <f t="shared" si="18"/>
        <v>0</v>
      </c>
      <c r="P73" s="19">
        <f t="shared" si="18"/>
        <v>0</v>
      </c>
      <c r="Q73" s="19">
        <f t="shared" si="18"/>
        <v>0</v>
      </c>
      <c r="R73" s="19">
        <f t="shared" si="18"/>
        <v>0</v>
      </c>
      <c r="S73" s="19">
        <f t="shared" si="18"/>
        <v>28333.91</v>
      </c>
      <c r="T73" s="19">
        <f t="shared" si="18"/>
        <v>0</v>
      </c>
      <c r="U73" s="19">
        <f>SUM(U69:U72)</f>
        <v>0</v>
      </c>
      <c r="V73" s="72"/>
      <c r="W73" s="19"/>
      <c r="X73" s="74"/>
      <c r="Y73" s="43"/>
      <c r="Z73" s="7">
        <v>0</v>
      </c>
      <c r="AA73" s="8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</row>
    <row r="74" spans="1:110" s="15" customFormat="1" ht="9.75" customHeight="1" hidden="1" thickBot="1">
      <c r="A74" s="130">
        <v>10</v>
      </c>
      <c r="B74" s="38" t="s">
        <v>54</v>
      </c>
      <c r="C74" s="39" t="s">
        <v>55</v>
      </c>
      <c r="D74" s="39" t="s">
        <v>56</v>
      </c>
      <c r="E74" s="50" t="s">
        <v>57</v>
      </c>
      <c r="F74" s="51">
        <v>85056.22</v>
      </c>
      <c r="G74" s="52">
        <v>0</v>
      </c>
      <c r="H74" s="55">
        <v>43439.61</v>
      </c>
      <c r="I74" s="34">
        <f t="shared" si="16"/>
        <v>37416.39</v>
      </c>
      <c r="J74" s="29"/>
      <c r="K74" s="12"/>
      <c r="L74" s="12"/>
      <c r="M74" s="12"/>
      <c r="N74" s="12"/>
      <c r="O74" s="12"/>
      <c r="P74" s="12"/>
      <c r="Q74" s="12"/>
      <c r="R74" s="12">
        <v>24584.01</v>
      </c>
      <c r="S74" s="12">
        <v>12832.38</v>
      </c>
      <c r="T74" s="12"/>
      <c r="U74" s="12"/>
      <c r="V74" s="72"/>
      <c r="W74" s="1">
        <f>H74-I78</f>
        <v>4339.480000000003</v>
      </c>
      <c r="X74" s="73">
        <f>R78+S78</f>
        <v>39100.13</v>
      </c>
      <c r="Y74" s="42">
        <v>0</v>
      </c>
      <c r="Z74" s="2">
        <v>0</v>
      </c>
      <c r="AA74" s="3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</row>
    <row r="75" spans="1:110" s="15" customFormat="1" ht="9.75" customHeight="1" hidden="1" thickBot="1">
      <c r="A75" s="130"/>
      <c r="B75" s="38"/>
      <c r="C75" s="39"/>
      <c r="D75" s="39"/>
      <c r="E75" s="50"/>
      <c r="F75" s="51"/>
      <c r="G75" s="52"/>
      <c r="H75" s="55"/>
      <c r="I75" s="34">
        <f t="shared" si="16"/>
        <v>0</v>
      </c>
      <c r="J75" s="30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72"/>
      <c r="W75" s="18">
        <f>1-(I78/H74)</f>
        <v>0.09989684529856513</v>
      </c>
      <c r="X75" s="74"/>
      <c r="Y75" s="43"/>
      <c r="Z75" s="7">
        <v>0</v>
      </c>
      <c r="AA75" s="8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</row>
    <row r="76" spans="1:110" s="15" customFormat="1" ht="9.75" customHeight="1" hidden="1" thickBot="1">
      <c r="A76" s="130"/>
      <c r="B76" s="70"/>
      <c r="C76" s="39"/>
      <c r="D76" s="39"/>
      <c r="E76" s="50"/>
      <c r="F76" s="51"/>
      <c r="G76" s="52"/>
      <c r="H76" s="55"/>
      <c r="I76" s="34">
        <f t="shared" si="16"/>
        <v>0</v>
      </c>
      <c r="J76" s="30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72"/>
      <c r="W76" s="18"/>
      <c r="X76" s="74"/>
      <c r="Y76" s="43"/>
      <c r="Z76" s="7">
        <v>0</v>
      </c>
      <c r="AA76" s="8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</row>
    <row r="77" spans="1:110" s="15" customFormat="1" ht="9.75" customHeight="1" hidden="1" thickBot="1">
      <c r="A77" s="130"/>
      <c r="B77" s="70"/>
      <c r="C77" s="39"/>
      <c r="D77" s="39"/>
      <c r="E77" s="50"/>
      <c r="F77" s="51"/>
      <c r="G77" s="52"/>
      <c r="H77" s="55"/>
      <c r="I77" s="34">
        <f t="shared" si="16"/>
        <v>1683.74</v>
      </c>
      <c r="J77" s="30"/>
      <c r="K77" s="17"/>
      <c r="L77" s="17"/>
      <c r="M77" s="17"/>
      <c r="N77" s="17"/>
      <c r="O77" s="17"/>
      <c r="P77" s="17"/>
      <c r="Q77" s="17"/>
      <c r="R77" s="17">
        <v>1106.28</v>
      </c>
      <c r="S77" s="17">
        <v>577.46</v>
      </c>
      <c r="T77" s="17"/>
      <c r="U77" s="17"/>
      <c r="V77" s="72"/>
      <c r="W77" s="19"/>
      <c r="X77" s="74"/>
      <c r="Y77" s="43"/>
      <c r="Z77" s="7">
        <v>0</v>
      </c>
      <c r="AA77" s="8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</row>
    <row r="78" spans="1:110" s="15" customFormat="1" ht="42" customHeight="1" thickBot="1">
      <c r="A78" s="130"/>
      <c r="B78" s="70"/>
      <c r="C78" s="39"/>
      <c r="D78" s="39"/>
      <c r="E78" s="50"/>
      <c r="F78" s="51"/>
      <c r="G78" s="52"/>
      <c r="H78" s="55"/>
      <c r="I78" s="34">
        <f t="shared" si="16"/>
        <v>39100.13</v>
      </c>
      <c r="J78" s="31">
        <f aca="true" t="shared" si="19" ref="J78:U78">SUM(J74:J77)</f>
        <v>0</v>
      </c>
      <c r="K78" s="19">
        <f t="shared" si="19"/>
        <v>0</v>
      </c>
      <c r="L78" s="19">
        <f t="shared" si="19"/>
        <v>0</v>
      </c>
      <c r="M78" s="19">
        <f t="shared" si="19"/>
        <v>0</v>
      </c>
      <c r="N78" s="19">
        <f t="shared" si="19"/>
        <v>0</v>
      </c>
      <c r="O78" s="19">
        <f t="shared" si="19"/>
        <v>0</v>
      </c>
      <c r="P78" s="19">
        <f t="shared" si="19"/>
        <v>0</v>
      </c>
      <c r="Q78" s="19">
        <f t="shared" si="19"/>
        <v>0</v>
      </c>
      <c r="R78" s="19">
        <f t="shared" si="19"/>
        <v>25690.289999999997</v>
      </c>
      <c r="S78" s="19">
        <f t="shared" si="19"/>
        <v>13409.84</v>
      </c>
      <c r="T78" s="19">
        <f t="shared" si="19"/>
        <v>0</v>
      </c>
      <c r="U78" s="19">
        <f t="shared" si="19"/>
        <v>0</v>
      </c>
      <c r="V78" s="72"/>
      <c r="W78" s="19"/>
      <c r="X78" s="74"/>
      <c r="Y78" s="43"/>
      <c r="Z78" s="7">
        <f>SUM(Z74:Z77)</f>
        <v>0</v>
      </c>
      <c r="AA78" s="8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</row>
    <row r="79" spans="1:110" s="15" customFormat="1" ht="9.75" customHeight="1" hidden="1" thickBot="1">
      <c r="A79" s="75" t="s">
        <v>50</v>
      </c>
      <c r="B79" s="38" t="s">
        <v>54</v>
      </c>
      <c r="C79" s="39" t="s">
        <v>51</v>
      </c>
      <c r="D79" s="39" t="s">
        <v>52</v>
      </c>
      <c r="E79" s="50" t="s">
        <v>58</v>
      </c>
      <c r="F79" s="51"/>
      <c r="G79" s="52"/>
      <c r="H79" s="55">
        <v>41616.61</v>
      </c>
      <c r="I79" s="34">
        <f t="shared" si="16"/>
        <v>36204.1</v>
      </c>
      <c r="J79" s="29"/>
      <c r="K79" s="12"/>
      <c r="L79" s="12"/>
      <c r="M79" s="12"/>
      <c r="N79" s="12"/>
      <c r="O79" s="12"/>
      <c r="P79" s="12"/>
      <c r="Q79" s="12"/>
      <c r="R79" s="12">
        <v>24584.01</v>
      </c>
      <c r="S79" s="12">
        <v>11620.09</v>
      </c>
      <c r="T79" s="12"/>
      <c r="U79" s="12"/>
      <c r="V79" s="72"/>
      <c r="W79" s="1">
        <f>H79-I83</f>
        <v>3783.320000000007</v>
      </c>
      <c r="X79" s="73">
        <f>R83+S83</f>
        <v>37833.28999999999</v>
      </c>
      <c r="Y79" s="42">
        <v>0</v>
      </c>
      <c r="Z79" s="2">
        <v>0</v>
      </c>
      <c r="AA79" s="3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</row>
    <row r="80" spans="1:110" s="15" customFormat="1" ht="9.75" customHeight="1" hidden="1" thickBot="1">
      <c r="A80" s="75"/>
      <c r="B80" s="38"/>
      <c r="C80" s="39"/>
      <c r="D80" s="39"/>
      <c r="E80" s="50"/>
      <c r="F80" s="51"/>
      <c r="G80" s="52"/>
      <c r="H80" s="55"/>
      <c r="I80" s="34">
        <f t="shared" si="16"/>
        <v>0</v>
      </c>
      <c r="J80" s="30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72"/>
      <c r="W80" s="18">
        <f>1-(I83/H79)</f>
        <v>0.09090889430926752</v>
      </c>
      <c r="X80" s="74"/>
      <c r="Y80" s="43"/>
      <c r="Z80" s="7">
        <v>0</v>
      </c>
      <c r="AA80" s="8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</row>
    <row r="81" spans="1:110" s="15" customFormat="1" ht="9.75" customHeight="1" hidden="1" thickBot="1">
      <c r="A81" s="75"/>
      <c r="B81" s="70"/>
      <c r="C81" s="71"/>
      <c r="D81" s="39"/>
      <c r="E81" s="50"/>
      <c r="F81" s="51"/>
      <c r="G81" s="52"/>
      <c r="H81" s="55"/>
      <c r="I81" s="34">
        <f t="shared" si="16"/>
        <v>0</v>
      </c>
      <c r="J81" s="30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72"/>
      <c r="W81" s="18"/>
      <c r="X81" s="74"/>
      <c r="Y81" s="43"/>
      <c r="Z81" s="7">
        <v>0</v>
      </c>
      <c r="AA81" s="8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</row>
    <row r="82" spans="1:110" s="15" customFormat="1" ht="9.75" customHeight="1" hidden="1" thickBot="1">
      <c r="A82" s="75"/>
      <c r="B82" s="70"/>
      <c r="C82" s="71"/>
      <c r="D82" s="39"/>
      <c r="E82" s="50"/>
      <c r="F82" s="51"/>
      <c r="G82" s="52"/>
      <c r="H82" s="55"/>
      <c r="I82" s="34">
        <f t="shared" si="16"/>
        <v>1629.19</v>
      </c>
      <c r="J82" s="30"/>
      <c r="K82" s="17"/>
      <c r="L82" s="17"/>
      <c r="M82" s="17"/>
      <c r="N82" s="17"/>
      <c r="O82" s="17"/>
      <c r="P82" s="17"/>
      <c r="Q82" s="17"/>
      <c r="R82" s="17">
        <v>1106.28</v>
      </c>
      <c r="S82" s="17">
        <v>522.91</v>
      </c>
      <c r="T82" s="17"/>
      <c r="U82" s="17"/>
      <c r="V82" s="72"/>
      <c r="W82" s="19"/>
      <c r="X82" s="74"/>
      <c r="Y82" s="43"/>
      <c r="Z82" s="7">
        <v>0</v>
      </c>
      <c r="AA82" s="8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</row>
    <row r="83" spans="1:110" s="15" customFormat="1" ht="42" customHeight="1" thickBot="1">
      <c r="A83" s="75"/>
      <c r="B83" s="70"/>
      <c r="C83" s="71"/>
      <c r="D83" s="39"/>
      <c r="E83" s="50"/>
      <c r="F83" s="51"/>
      <c r="G83" s="52"/>
      <c r="H83" s="55"/>
      <c r="I83" s="34">
        <f t="shared" si="16"/>
        <v>37833.28999999999</v>
      </c>
      <c r="J83" s="31">
        <f>SUM(J79:J82)</f>
        <v>0</v>
      </c>
      <c r="K83" s="19">
        <f aca="true" t="shared" si="20" ref="K83:U83">SUM(K79:K82)</f>
        <v>0</v>
      </c>
      <c r="L83" s="19">
        <f t="shared" si="20"/>
        <v>0</v>
      </c>
      <c r="M83" s="19">
        <f t="shared" si="20"/>
        <v>0</v>
      </c>
      <c r="N83" s="19">
        <f t="shared" si="20"/>
        <v>0</v>
      </c>
      <c r="O83" s="19">
        <f t="shared" si="20"/>
        <v>0</v>
      </c>
      <c r="P83" s="19">
        <f t="shared" si="20"/>
        <v>0</v>
      </c>
      <c r="Q83" s="19">
        <f t="shared" si="20"/>
        <v>0</v>
      </c>
      <c r="R83" s="19">
        <f t="shared" si="20"/>
        <v>25690.289999999997</v>
      </c>
      <c r="S83" s="19">
        <f t="shared" si="20"/>
        <v>12143</v>
      </c>
      <c r="T83" s="19">
        <f t="shared" si="20"/>
        <v>0</v>
      </c>
      <c r="U83" s="19">
        <f t="shared" si="20"/>
        <v>0</v>
      </c>
      <c r="V83" s="72"/>
      <c r="W83" s="19"/>
      <c r="X83" s="74"/>
      <c r="Y83" s="43"/>
      <c r="Z83" s="7">
        <f>SUM(Z79:Z82)</f>
        <v>0</v>
      </c>
      <c r="AA83" s="8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</row>
    <row r="84" spans="1:110" s="15" customFormat="1" ht="9.75" customHeight="1" hidden="1" thickBot="1">
      <c r="A84" s="130">
        <v>10</v>
      </c>
      <c r="B84" s="38" t="s">
        <v>59</v>
      </c>
      <c r="C84" s="39" t="s">
        <v>60</v>
      </c>
      <c r="D84" s="39" t="s">
        <v>61</v>
      </c>
      <c r="E84" s="50" t="s">
        <v>62</v>
      </c>
      <c r="F84" s="51">
        <v>180140</v>
      </c>
      <c r="G84" s="52">
        <v>0</v>
      </c>
      <c r="H84" s="55">
        <v>91219</v>
      </c>
      <c r="I84" s="34">
        <f t="shared" si="16"/>
        <v>87234.84</v>
      </c>
      <c r="J84" s="29"/>
      <c r="K84" s="12"/>
      <c r="L84" s="12"/>
      <c r="M84" s="12"/>
      <c r="N84" s="12"/>
      <c r="O84" s="12"/>
      <c r="P84" s="12"/>
      <c r="Q84" s="12"/>
      <c r="R84" s="12"/>
      <c r="S84" s="12">
        <v>57530.38</v>
      </c>
      <c r="T84" s="12">
        <v>29704.46</v>
      </c>
      <c r="U84" s="12"/>
      <c r="V84" s="72"/>
      <c r="W84" s="1">
        <f>H84-I88</f>
        <v>58.58999999999651</v>
      </c>
      <c r="X84" s="73">
        <f>S88+22448.05</f>
        <v>82567.3</v>
      </c>
      <c r="Y84" s="42">
        <f>T88-22448.05</f>
        <v>8593.11</v>
      </c>
      <c r="Z84" s="2">
        <f>T84-22448.05</f>
        <v>7256.41</v>
      </c>
      <c r="AA84" s="3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</row>
    <row r="85" spans="1:110" s="15" customFormat="1" ht="9.75" customHeight="1" hidden="1" thickBot="1">
      <c r="A85" s="130"/>
      <c r="B85" s="38"/>
      <c r="C85" s="39"/>
      <c r="D85" s="39"/>
      <c r="E85" s="50"/>
      <c r="F85" s="51"/>
      <c r="G85" s="52"/>
      <c r="H85" s="55"/>
      <c r="I85" s="34">
        <f t="shared" si="16"/>
        <v>0</v>
      </c>
      <c r="J85" s="30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72"/>
      <c r="W85" s="18">
        <f>1-(I88/H84)</f>
        <v>0.0006423003979433295</v>
      </c>
      <c r="X85" s="74"/>
      <c r="Y85" s="43"/>
      <c r="Z85" s="7">
        <v>0</v>
      </c>
      <c r="AA85" s="8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</row>
    <row r="86" spans="1:110" s="15" customFormat="1" ht="9.75" customHeight="1" hidden="1" thickBot="1">
      <c r="A86" s="130"/>
      <c r="B86" s="70"/>
      <c r="C86" s="39"/>
      <c r="D86" s="39"/>
      <c r="E86" s="50"/>
      <c r="F86" s="51"/>
      <c r="G86" s="52"/>
      <c r="H86" s="55"/>
      <c r="I86" s="34">
        <f t="shared" si="16"/>
        <v>0</v>
      </c>
      <c r="J86" s="30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72"/>
      <c r="W86" s="18"/>
      <c r="X86" s="74"/>
      <c r="Y86" s="43"/>
      <c r="Z86" s="7">
        <v>0</v>
      </c>
      <c r="AA86" s="8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</row>
    <row r="87" spans="1:110" s="15" customFormat="1" ht="9.75" customHeight="1" hidden="1" thickBot="1">
      <c r="A87" s="130"/>
      <c r="B87" s="70"/>
      <c r="C87" s="39"/>
      <c r="D87" s="39"/>
      <c r="E87" s="50"/>
      <c r="F87" s="51"/>
      <c r="G87" s="52"/>
      <c r="H87" s="55"/>
      <c r="I87" s="34">
        <f t="shared" si="16"/>
        <v>3925.5699999999997</v>
      </c>
      <c r="J87" s="30"/>
      <c r="K87" s="17"/>
      <c r="L87" s="17"/>
      <c r="M87" s="17"/>
      <c r="N87" s="17"/>
      <c r="O87" s="17"/>
      <c r="P87" s="17"/>
      <c r="Q87" s="17"/>
      <c r="R87" s="17"/>
      <c r="S87" s="17">
        <v>2588.87</v>
      </c>
      <c r="T87" s="17">
        <v>1336.7</v>
      </c>
      <c r="U87" s="17"/>
      <c r="V87" s="72"/>
      <c r="W87" s="19"/>
      <c r="X87" s="74"/>
      <c r="Y87" s="43"/>
      <c r="Z87" s="7">
        <f>T87</f>
        <v>1336.7</v>
      </c>
      <c r="AA87" s="8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</row>
    <row r="88" spans="1:110" s="15" customFormat="1" ht="42" customHeight="1" thickBot="1">
      <c r="A88" s="130"/>
      <c r="B88" s="70"/>
      <c r="C88" s="39"/>
      <c r="D88" s="39"/>
      <c r="E88" s="50"/>
      <c r="F88" s="51"/>
      <c r="G88" s="52"/>
      <c r="H88" s="55"/>
      <c r="I88" s="34">
        <f t="shared" si="16"/>
        <v>91160.41</v>
      </c>
      <c r="J88" s="31">
        <f>SUM(J84:J87)</f>
        <v>0</v>
      </c>
      <c r="K88" s="19">
        <f aca="true" t="shared" si="21" ref="K88:U88">SUM(K84:K87)</f>
        <v>0</v>
      </c>
      <c r="L88" s="19">
        <f t="shared" si="21"/>
        <v>0</v>
      </c>
      <c r="M88" s="19">
        <f t="shared" si="21"/>
        <v>0</v>
      </c>
      <c r="N88" s="19">
        <f t="shared" si="21"/>
        <v>0</v>
      </c>
      <c r="O88" s="19">
        <f t="shared" si="21"/>
        <v>0</v>
      </c>
      <c r="P88" s="19">
        <f t="shared" si="21"/>
        <v>0</v>
      </c>
      <c r="Q88" s="19">
        <f t="shared" si="21"/>
        <v>0</v>
      </c>
      <c r="R88" s="19">
        <f t="shared" si="21"/>
        <v>0</v>
      </c>
      <c r="S88" s="19">
        <f t="shared" si="21"/>
        <v>60119.25</v>
      </c>
      <c r="T88" s="19">
        <f t="shared" si="21"/>
        <v>31041.16</v>
      </c>
      <c r="U88" s="19">
        <f t="shared" si="21"/>
        <v>0</v>
      </c>
      <c r="V88" s="72"/>
      <c r="W88" s="19"/>
      <c r="X88" s="74"/>
      <c r="Y88" s="43"/>
      <c r="Z88" s="7">
        <f>SUM(Z84:Z87)</f>
        <v>8593.11</v>
      </c>
      <c r="AA88" s="8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</row>
    <row r="89" spans="1:110" s="15" customFormat="1" ht="9.75" customHeight="1" hidden="1" thickBot="1">
      <c r="A89" s="75" t="s">
        <v>50</v>
      </c>
      <c r="B89" s="38" t="s">
        <v>59</v>
      </c>
      <c r="C89" s="39" t="s">
        <v>51</v>
      </c>
      <c r="D89" s="39" t="s">
        <v>63</v>
      </c>
      <c r="E89" s="50" t="s">
        <v>64</v>
      </c>
      <c r="F89" s="51"/>
      <c r="G89" s="52"/>
      <c r="H89" s="55">
        <v>88921</v>
      </c>
      <c r="I89" s="34">
        <f t="shared" si="16"/>
        <v>85090.17</v>
      </c>
      <c r="J89" s="29"/>
      <c r="K89" s="12"/>
      <c r="L89" s="12"/>
      <c r="M89" s="12"/>
      <c r="N89" s="12"/>
      <c r="O89" s="12"/>
      <c r="P89" s="12"/>
      <c r="Q89" s="12"/>
      <c r="R89" s="12"/>
      <c r="S89" s="12">
        <v>57529.73</v>
      </c>
      <c r="T89" s="12">
        <v>27560.44</v>
      </c>
      <c r="U89" s="12"/>
      <c r="V89" s="72"/>
      <c r="W89" s="1">
        <f>H89-I93</f>
        <v>1.7699999999895226</v>
      </c>
      <c r="X89" s="73">
        <f>S93+T93</f>
        <v>88919.23000000001</v>
      </c>
      <c r="Y89" s="42">
        <v>0</v>
      </c>
      <c r="Z89" s="2">
        <v>0</v>
      </c>
      <c r="AA89" s="3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</row>
    <row r="90" spans="1:110" s="15" customFormat="1" ht="9.75" customHeight="1" hidden="1" thickBot="1">
      <c r="A90" s="75"/>
      <c r="B90" s="38"/>
      <c r="C90" s="39"/>
      <c r="D90" s="39"/>
      <c r="E90" s="50"/>
      <c r="F90" s="51"/>
      <c r="G90" s="52"/>
      <c r="H90" s="55"/>
      <c r="I90" s="34">
        <f t="shared" si="16"/>
        <v>0</v>
      </c>
      <c r="J90" s="30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72"/>
      <c r="W90" s="18">
        <f>1-(I93/H89)</f>
        <v>1.990530920692457E-05</v>
      </c>
      <c r="X90" s="74"/>
      <c r="Y90" s="43"/>
      <c r="Z90" s="7">
        <v>0</v>
      </c>
      <c r="AA90" s="8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</row>
    <row r="91" spans="1:110" s="15" customFormat="1" ht="9.75" customHeight="1" hidden="1" thickBot="1">
      <c r="A91" s="75"/>
      <c r="B91" s="70"/>
      <c r="C91" s="71"/>
      <c r="D91" s="39"/>
      <c r="E91" s="50"/>
      <c r="F91" s="51"/>
      <c r="G91" s="52"/>
      <c r="H91" s="55"/>
      <c r="I91" s="34">
        <f t="shared" si="16"/>
        <v>0</v>
      </c>
      <c r="J91" s="30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72"/>
      <c r="W91" s="18"/>
      <c r="X91" s="74"/>
      <c r="Y91" s="43"/>
      <c r="Z91" s="7">
        <v>0</v>
      </c>
      <c r="AA91" s="8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</row>
    <row r="92" spans="1:110" s="15" customFormat="1" ht="9.75" customHeight="1" hidden="1" thickBot="1">
      <c r="A92" s="75"/>
      <c r="B92" s="70"/>
      <c r="C92" s="71"/>
      <c r="D92" s="39"/>
      <c r="E92" s="50"/>
      <c r="F92" s="51"/>
      <c r="G92" s="52"/>
      <c r="H92" s="55"/>
      <c r="I92" s="34">
        <f t="shared" si="16"/>
        <v>3829.0600000000004</v>
      </c>
      <c r="J92" s="30"/>
      <c r="K92" s="17"/>
      <c r="L92" s="17"/>
      <c r="M92" s="17"/>
      <c r="N92" s="17"/>
      <c r="O92" s="17"/>
      <c r="P92" s="17"/>
      <c r="Q92" s="17"/>
      <c r="R92" s="17"/>
      <c r="S92" s="17">
        <v>2588.84</v>
      </c>
      <c r="T92" s="17">
        <v>1240.22</v>
      </c>
      <c r="U92" s="17"/>
      <c r="V92" s="72"/>
      <c r="W92" s="19"/>
      <c r="X92" s="74"/>
      <c r="Y92" s="43"/>
      <c r="Z92" s="7">
        <v>0</v>
      </c>
      <c r="AA92" s="8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</row>
    <row r="93" spans="1:110" s="15" customFormat="1" ht="42" customHeight="1" thickBot="1">
      <c r="A93" s="75"/>
      <c r="B93" s="70"/>
      <c r="C93" s="71"/>
      <c r="D93" s="39"/>
      <c r="E93" s="50"/>
      <c r="F93" s="51"/>
      <c r="G93" s="52"/>
      <c r="H93" s="55"/>
      <c r="I93" s="34">
        <f t="shared" si="16"/>
        <v>88919.23000000001</v>
      </c>
      <c r="J93" s="31">
        <f>SUM(J89:J92)</f>
        <v>0</v>
      </c>
      <c r="K93" s="19">
        <f aca="true" t="shared" si="22" ref="K93:U93">SUM(K89:K92)</f>
        <v>0</v>
      </c>
      <c r="L93" s="19">
        <f t="shared" si="22"/>
        <v>0</v>
      </c>
      <c r="M93" s="19">
        <f t="shared" si="22"/>
        <v>0</v>
      </c>
      <c r="N93" s="19">
        <f t="shared" si="22"/>
        <v>0</v>
      </c>
      <c r="O93" s="19">
        <f t="shared" si="22"/>
        <v>0</v>
      </c>
      <c r="P93" s="19">
        <f t="shared" si="22"/>
        <v>0</v>
      </c>
      <c r="Q93" s="19">
        <f t="shared" si="22"/>
        <v>0</v>
      </c>
      <c r="R93" s="19">
        <f t="shared" si="22"/>
        <v>0</v>
      </c>
      <c r="S93" s="19">
        <f t="shared" si="22"/>
        <v>60118.57000000001</v>
      </c>
      <c r="T93" s="19">
        <f t="shared" si="22"/>
        <v>28800.66</v>
      </c>
      <c r="U93" s="19">
        <f t="shared" si="22"/>
        <v>0</v>
      </c>
      <c r="V93" s="72"/>
      <c r="W93" s="19"/>
      <c r="X93" s="74"/>
      <c r="Y93" s="43"/>
      <c r="Z93" s="7">
        <v>0</v>
      </c>
      <c r="AA93" s="8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</row>
    <row r="94" spans="1:110" s="15" customFormat="1" ht="9.75" customHeight="1" hidden="1" thickBot="1">
      <c r="A94" s="75"/>
      <c r="B94" s="70"/>
      <c r="C94" s="71"/>
      <c r="D94" s="39"/>
      <c r="E94" s="50"/>
      <c r="F94" s="51"/>
      <c r="G94" s="52"/>
      <c r="H94" s="55"/>
      <c r="I94" s="35"/>
      <c r="J94" s="33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72"/>
      <c r="W94" s="26"/>
      <c r="X94" s="76"/>
      <c r="Y94" s="77"/>
      <c r="Z94" s="11"/>
      <c r="AA94" s="8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</row>
    <row r="95" spans="1:110" s="15" customFormat="1" ht="9.75" customHeight="1" hidden="1" thickBot="1">
      <c r="A95" s="130">
        <v>10</v>
      </c>
      <c r="B95" s="38" t="s">
        <v>65</v>
      </c>
      <c r="C95" s="39" t="s">
        <v>66</v>
      </c>
      <c r="D95" s="39" t="s">
        <v>67</v>
      </c>
      <c r="E95" s="39" t="s">
        <v>68</v>
      </c>
      <c r="F95" s="51">
        <v>262514.16</v>
      </c>
      <c r="G95" s="52">
        <v>0</v>
      </c>
      <c r="H95" s="55">
        <v>133411.08</v>
      </c>
      <c r="I95" s="34">
        <f>SUM(J95:U95)</f>
        <v>125769.12</v>
      </c>
      <c r="J95" s="29"/>
      <c r="K95" s="12"/>
      <c r="L95" s="12"/>
      <c r="M95" s="12"/>
      <c r="N95" s="12"/>
      <c r="O95" s="12"/>
      <c r="P95" s="12"/>
      <c r="Q95" s="12"/>
      <c r="R95" s="12"/>
      <c r="S95" s="12"/>
      <c r="T95" s="12">
        <v>58909.14</v>
      </c>
      <c r="U95" s="12">
        <v>66859.98</v>
      </c>
      <c r="V95" s="72"/>
      <c r="W95" s="1">
        <f>H95-I99</f>
        <v>1982.3399999999965</v>
      </c>
      <c r="X95" s="73">
        <v>0</v>
      </c>
      <c r="Y95" s="42">
        <f>T99+U99</f>
        <v>131428.74</v>
      </c>
      <c r="Z95" s="2">
        <f>T95+U95</f>
        <v>125769.12</v>
      </c>
      <c r="AA95" s="3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</row>
    <row r="96" spans="1:110" s="15" customFormat="1" ht="9.75" customHeight="1" hidden="1" thickBot="1">
      <c r="A96" s="130"/>
      <c r="B96" s="38"/>
      <c r="C96" s="39"/>
      <c r="D96" s="39"/>
      <c r="E96" s="39"/>
      <c r="F96" s="51"/>
      <c r="G96" s="52"/>
      <c r="H96" s="55"/>
      <c r="I96" s="34">
        <f>SUM(J96:U96)</f>
        <v>0</v>
      </c>
      <c r="J96" s="30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72"/>
      <c r="W96" s="18">
        <f>1-(I99/H95)</f>
        <v>0.014858885783699538</v>
      </c>
      <c r="X96" s="74"/>
      <c r="Y96" s="43"/>
      <c r="Z96" s="7">
        <v>0</v>
      </c>
      <c r="AA96" s="8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</row>
    <row r="97" spans="1:110" s="15" customFormat="1" ht="9.75" customHeight="1" hidden="1" thickBot="1">
      <c r="A97" s="130"/>
      <c r="B97" s="70"/>
      <c r="C97" s="71"/>
      <c r="D97" s="39"/>
      <c r="E97" s="71"/>
      <c r="F97" s="51"/>
      <c r="G97" s="52"/>
      <c r="H97" s="55"/>
      <c r="I97" s="34">
        <f>SUM(J97:U97)</f>
        <v>0</v>
      </c>
      <c r="J97" s="30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72"/>
      <c r="W97" s="18"/>
      <c r="X97" s="74"/>
      <c r="Y97" s="43"/>
      <c r="Z97" s="7">
        <v>0</v>
      </c>
      <c r="AA97" s="8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</row>
    <row r="98" spans="1:110" s="15" customFormat="1" ht="24.75" customHeight="1" hidden="1" thickBot="1">
      <c r="A98" s="130"/>
      <c r="B98" s="70"/>
      <c r="C98" s="71"/>
      <c r="D98" s="39"/>
      <c r="E98" s="71"/>
      <c r="F98" s="51"/>
      <c r="G98" s="52"/>
      <c r="H98" s="55"/>
      <c r="I98" s="34">
        <f>SUM(J98:U98)</f>
        <v>5659.62</v>
      </c>
      <c r="J98" s="30"/>
      <c r="K98" s="17"/>
      <c r="L98" s="17"/>
      <c r="M98" s="17"/>
      <c r="N98" s="17"/>
      <c r="O98" s="17"/>
      <c r="P98" s="17"/>
      <c r="Q98" s="17"/>
      <c r="R98" s="17"/>
      <c r="S98" s="17"/>
      <c r="T98" s="17">
        <v>2650.92</v>
      </c>
      <c r="U98" s="17">
        <v>3008.7</v>
      </c>
      <c r="V98" s="72"/>
      <c r="W98" s="19"/>
      <c r="X98" s="74"/>
      <c r="Y98" s="43"/>
      <c r="Z98" s="7">
        <f>T98+U98</f>
        <v>5659.62</v>
      </c>
      <c r="AA98" s="8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</row>
    <row r="99" spans="1:110" s="15" customFormat="1" ht="42" customHeight="1" thickBot="1">
      <c r="A99" s="130"/>
      <c r="B99" s="70"/>
      <c r="C99" s="71"/>
      <c r="D99" s="39"/>
      <c r="E99" s="71"/>
      <c r="F99" s="51"/>
      <c r="G99" s="52"/>
      <c r="H99" s="55"/>
      <c r="I99" s="34">
        <f>SUM(J99:U99)</f>
        <v>131428.74</v>
      </c>
      <c r="J99" s="31">
        <f>SUM(J95:J98)</f>
        <v>0</v>
      </c>
      <c r="K99" s="19">
        <f aca="true" t="shared" si="23" ref="K99:U99">SUM(K95:K98)</f>
        <v>0</v>
      </c>
      <c r="L99" s="19">
        <f t="shared" si="23"/>
        <v>0</v>
      </c>
      <c r="M99" s="19">
        <f t="shared" si="23"/>
        <v>0</v>
      </c>
      <c r="N99" s="19">
        <f t="shared" si="23"/>
        <v>0</v>
      </c>
      <c r="O99" s="19">
        <f t="shared" si="23"/>
        <v>0</v>
      </c>
      <c r="P99" s="19">
        <f t="shared" si="23"/>
        <v>0</v>
      </c>
      <c r="Q99" s="19">
        <f t="shared" si="23"/>
        <v>0</v>
      </c>
      <c r="R99" s="19">
        <f t="shared" si="23"/>
        <v>0</v>
      </c>
      <c r="S99" s="19">
        <f t="shared" si="23"/>
        <v>0</v>
      </c>
      <c r="T99" s="19">
        <f t="shared" si="23"/>
        <v>61560.06</v>
      </c>
      <c r="U99" s="19">
        <f t="shared" si="23"/>
        <v>69868.68</v>
      </c>
      <c r="V99" s="72"/>
      <c r="W99" s="19"/>
      <c r="X99" s="74"/>
      <c r="Y99" s="43"/>
      <c r="Z99" s="7">
        <f>SUM(Z95:Z98)</f>
        <v>131428.74</v>
      </c>
      <c r="AA99" s="8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</row>
    <row r="100" spans="1:110" s="15" customFormat="1" ht="9.75" customHeight="1" hidden="1" thickBot="1">
      <c r="A100" s="130"/>
      <c r="B100" s="70"/>
      <c r="C100" s="71"/>
      <c r="D100" s="39"/>
      <c r="E100" s="71"/>
      <c r="F100" s="51"/>
      <c r="G100" s="52"/>
      <c r="H100" s="55"/>
      <c r="I100" s="35"/>
      <c r="J100" s="33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72"/>
      <c r="W100" s="26"/>
      <c r="X100" s="76"/>
      <c r="Y100" s="77"/>
      <c r="Z100" s="11"/>
      <c r="AA100" s="8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</row>
    <row r="101" spans="1:110" s="15" customFormat="1" ht="9.75" customHeight="1" hidden="1">
      <c r="A101" s="75" t="s">
        <v>50</v>
      </c>
      <c r="B101" s="38" t="s">
        <v>65</v>
      </c>
      <c r="C101" s="39" t="s">
        <v>51</v>
      </c>
      <c r="D101" s="39" t="s">
        <v>69</v>
      </c>
      <c r="E101" s="39" t="s">
        <v>70</v>
      </c>
      <c r="F101" s="51"/>
      <c r="G101" s="52"/>
      <c r="H101" s="55">
        <v>129103.08</v>
      </c>
      <c r="I101" s="34">
        <f>SUM(J101:U101)</f>
        <v>32485.4</v>
      </c>
      <c r="J101" s="29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>
        <v>32485.4</v>
      </c>
      <c r="V101" s="78"/>
      <c r="W101" s="1">
        <f>H101-I105</f>
        <v>95155.84</v>
      </c>
      <c r="X101" s="73">
        <v>0</v>
      </c>
      <c r="Y101" s="42">
        <f>U105</f>
        <v>33947.24</v>
      </c>
      <c r="Z101" s="2">
        <f>U101</f>
        <v>32485.4</v>
      </c>
      <c r="AA101" s="3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</row>
    <row r="102" spans="1:110" s="15" customFormat="1" ht="9.75" customHeight="1" hidden="1">
      <c r="A102" s="75"/>
      <c r="B102" s="38"/>
      <c r="C102" s="39"/>
      <c r="D102" s="39"/>
      <c r="E102" s="39"/>
      <c r="F102" s="51"/>
      <c r="G102" s="52"/>
      <c r="H102" s="55"/>
      <c r="I102" s="34">
        <f>SUM(J102:U102)</f>
        <v>0</v>
      </c>
      <c r="J102" s="30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79"/>
      <c r="W102" s="18">
        <f>1-(I105/H101)</f>
        <v>0.73705321360265</v>
      </c>
      <c r="X102" s="74"/>
      <c r="Y102" s="43"/>
      <c r="Z102" s="7">
        <f>U102</f>
        <v>0</v>
      </c>
      <c r="AA102" s="8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</row>
    <row r="103" spans="1:110" s="15" customFormat="1" ht="9.75" customHeight="1" hidden="1">
      <c r="A103" s="75"/>
      <c r="B103" s="70"/>
      <c r="C103" s="71"/>
      <c r="D103" s="39"/>
      <c r="E103" s="71"/>
      <c r="F103" s="51"/>
      <c r="G103" s="52"/>
      <c r="H103" s="55"/>
      <c r="I103" s="34">
        <f>SUM(J103:U103)</f>
        <v>0</v>
      </c>
      <c r="J103" s="30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79"/>
      <c r="W103" s="18"/>
      <c r="X103" s="74"/>
      <c r="Y103" s="43"/>
      <c r="Z103" s="7">
        <f>U103</f>
        <v>0</v>
      </c>
      <c r="AA103" s="8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</row>
    <row r="104" spans="1:110" s="15" customFormat="1" ht="9.75" customHeight="1" hidden="1">
      <c r="A104" s="75"/>
      <c r="B104" s="70"/>
      <c r="C104" s="71"/>
      <c r="D104" s="39"/>
      <c r="E104" s="71"/>
      <c r="F104" s="51"/>
      <c r="G104" s="52"/>
      <c r="H104" s="55"/>
      <c r="I104" s="34">
        <f>SUM(J104:U104)</f>
        <v>1461.84</v>
      </c>
      <c r="J104" s="30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>
        <v>1461.84</v>
      </c>
      <c r="V104" s="79"/>
      <c r="W104" s="19"/>
      <c r="X104" s="74"/>
      <c r="Y104" s="43"/>
      <c r="Z104" s="7">
        <f>U104</f>
        <v>1461.84</v>
      </c>
      <c r="AA104" s="8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</row>
    <row r="105" spans="1:110" s="15" customFormat="1" ht="42" customHeight="1">
      <c r="A105" s="75"/>
      <c r="B105" s="70"/>
      <c r="C105" s="71"/>
      <c r="D105" s="39"/>
      <c r="E105" s="71"/>
      <c r="F105" s="51"/>
      <c r="G105" s="52"/>
      <c r="H105" s="55"/>
      <c r="I105" s="34">
        <f>SUM(J105:U105)</f>
        <v>33947.24</v>
      </c>
      <c r="J105" s="31">
        <f aca="true" t="shared" si="24" ref="J105:S105">SUM(J101:J104)</f>
        <v>0</v>
      </c>
      <c r="K105" s="19">
        <f t="shared" si="24"/>
        <v>0</v>
      </c>
      <c r="L105" s="19">
        <f t="shared" si="24"/>
        <v>0</v>
      </c>
      <c r="M105" s="19">
        <f t="shared" si="24"/>
        <v>0</v>
      </c>
      <c r="N105" s="19">
        <f t="shared" si="24"/>
        <v>0</v>
      </c>
      <c r="O105" s="19">
        <f t="shared" si="24"/>
        <v>0</v>
      </c>
      <c r="P105" s="19">
        <f t="shared" si="24"/>
        <v>0</v>
      </c>
      <c r="Q105" s="19">
        <f t="shared" si="24"/>
        <v>0</v>
      </c>
      <c r="R105" s="19">
        <f t="shared" si="24"/>
        <v>0</v>
      </c>
      <c r="S105" s="19">
        <f t="shared" si="24"/>
        <v>0</v>
      </c>
      <c r="T105" s="19">
        <f>SUM(T101:T104)</f>
        <v>0</v>
      </c>
      <c r="U105" s="19">
        <f>SUM(U101:U104)</f>
        <v>33947.24</v>
      </c>
      <c r="V105" s="79"/>
      <c r="W105" s="19"/>
      <c r="X105" s="74"/>
      <c r="Y105" s="43"/>
      <c r="Z105" s="7">
        <f>SUM(Z101:Z104)</f>
        <v>33947.24</v>
      </c>
      <c r="AA105" s="8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</row>
    <row r="106" spans="1:110" s="15" customFormat="1" ht="9.75" customHeight="1" hidden="1" thickBot="1">
      <c r="A106" s="75"/>
      <c r="B106" s="70"/>
      <c r="C106" s="71"/>
      <c r="D106" s="39"/>
      <c r="E106" s="71"/>
      <c r="F106" s="51"/>
      <c r="G106" s="52"/>
      <c r="H106" s="55"/>
      <c r="I106" s="35"/>
      <c r="J106" s="33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80"/>
      <c r="W106" s="26"/>
      <c r="X106" s="76"/>
      <c r="Y106" s="77"/>
      <c r="Z106" s="11"/>
      <c r="AA106" s="8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</row>
    <row r="107" spans="1:110" s="21" customFormat="1" ht="9.75" customHeight="1" hidden="1">
      <c r="A107" s="101">
        <v>10</v>
      </c>
      <c r="B107" s="102" t="s">
        <v>71</v>
      </c>
      <c r="C107" s="103"/>
      <c r="D107" s="103"/>
      <c r="E107" s="104"/>
      <c r="F107" s="105"/>
      <c r="G107" s="106"/>
      <c r="H107" s="107">
        <f>351680.77+90000</f>
        <v>441680.77</v>
      </c>
      <c r="I107" s="108">
        <f>I112+I117</f>
        <v>413690.9</v>
      </c>
      <c r="J107" s="2"/>
      <c r="K107" s="1"/>
      <c r="L107" s="1"/>
      <c r="M107" s="1"/>
      <c r="N107" s="1"/>
      <c r="O107" s="1"/>
      <c r="P107" s="1"/>
      <c r="Q107" s="1"/>
      <c r="R107" s="1">
        <f>R112+R117</f>
        <v>30061.34</v>
      </c>
      <c r="S107" s="1">
        <f>S112+S117</f>
        <v>373809.45</v>
      </c>
      <c r="T107" s="1">
        <f>T112+T117</f>
        <v>9820.11</v>
      </c>
      <c r="U107" s="1"/>
      <c r="V107" s="81"/>
      <c r="W107" s="1">
        <f>H107-I111</f>
        <v>1993.3499999999767</v>
      </c>
      <c r="X107" s="60">
        <f>X112+X117</f>
        <v>0</v>
      </c>
      <c r="Y107" s="62">
        <f>Y112+Y117</f>
        <v>439687.42000000004</v>
      </c>
      <c r="Z107" s="2">
        <f>Z112+Z117</f>
        <v>413690.9</v>
      </c>
      <c r="AA107" s="3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</row>
    <row r="108" spans="1:110" s="21" customFormat="1" ht="9.75" customHeight="1" hidden="1">
      <c r="A108" s="101"/>
      <c r="B108" s="102"/>
      <c r="C108" s="103"/>
      <c r="D108" s="103"/>
      <c r="E108" s="104"/>
      <c r="F108" s="105"/>
      <c r="G108" s="106"/>
      <c r="H108" s="107"/>
      <c r="I108" s="108">
        <f>I113+I118</f>
        <v>12079.54</v>
      </c>
      <c r="J108" s="27"/>
      <c r="K108" s="5"/>
      <c r="L108" s="5"/>
      <c r="M108" s="5"/>
      <c r="N108" s="5"/>
      <c r="O108" s="5"/>
      <c r="P108" s="5"/>
      <c r="Q108" s="5"/>
      <c r="R108" s="5"/>
      <c r="S108" s="5"/>
      <c r="T108" s="5">
        <f>T113+T118</f>
        <v>11741.49</v>
      </c>
      <c r="U108" s="5">
        <f>U113+U118</f>
        <v>338.05</v>
      </c>
      <c r="V108" s="82"/>
      <c r="W108" s="6">
        <f>1-((I111)/H107)</f>
        <v>0.004513101170331657</v>
      </c>
      <c r="X108" s="61"/>
      <c r="Y108" s="63"/>
      <c r="Z108" s="7">
        <f>Z113+Z118</f>
        <v>12079.54</v>
      </c>
      <c r="AA108" s="8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</row>
    <row r="109" spans="1:110" s="21" customFormat="1" ht="9.75" customHeight="1" hidden="1">
      <c r="A109" s="101"/>
      <c r="B109" s="109"/>
      <c r="C109" s="110"/>
      <c r="D109" s="103"/>
      <c r="E109" s="111"/>
      <c r="F109" s="105"/>
      <c r="G109" s="112"/>
      <c r="H109" s="107"/>
      <c r="I109" s="108">
        <f>I114+I119</f>
        <v>1143.85</v>
      </c>
      <c r="J109" s="27"/>
      <c r="K109" s="5"/>
      <c r="L109" s="5"/>
      <c r="M109" s="5"/>
      <c r="N109" s="5"/>
      <c r="O109" s="5"/>
      <c r="P109" s="5"/>
      <c r="Q109" s="5">
        <f>Q114+Q119</f>
        <v>1143.85</v>
      </c>
      <c r="R109" s="5"/>
      <c r="S109" s="5"/>
      <c r="T109" s="5"/>
      <c r="U109" s="5"/>
      <c r="V109" s="82"/>
      <c r="W109" s="6"/>
      <c r="X109" s="61"/>
      <c r="Y109" s="63"/>
      <c r="Z109" s="7">
        <f>Z114+Z119</f>
        <v>1143.85</v>
      </c>
      <c r="AA109" s="8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</row>
    <row r="110" spans="1:110" s="21" customFormat="1" ht="9.75" customHeight="1" hidden="1">
      <c r="A110" s="101"/>
      <c r="B110" s="109"/>
      <c r="C110" s="110"/>
      <c r="D110" s="103"/>
      <c r="E110" s="111"/>
      <c r="F110" s="105"/>
      <c r="G110" s="112"/>
      <c r="H110" s="107"/>
      <c r="I110" s="108">
        <f>I115+I120</f>
        <v>12773.130000000001</v>
      </c>
      <c r="J110" s="27"/>
      <c r="K110" s="5"/>
      <c r="L110" s="5"/>
      <c r="M110" s="5"/>
      <c r="N110" s="5"/>
      <c r="O110" s="5"/>
      <c r="P110" s="5"/>
      <c r="Q110" s="5"/>
      <c r="R110" s="5">
        <f>R115+R120</f>
        <v>901.84</v>
      </c>
      <c r="S110" s="5">
        <f>S115+S120</f>
        <v>11214.29</v>
      </c>
      <c r="T110" s="5">
        <f>T115+T120</f>
        <v>646.86</v>
      </c>
      <c r="U110" s="5">
        <f>U115+U120</f>
        <v>10.14</v>
      </c>
      <c r="V110" s="82"/>
      <c r="W110" s="9"/>
      <c r="X110" s="61"/>
      <c r="Y110" s="63"/>
      <c r="Z110" s="7">
        <f>Z115+Z120</f>
        <v>12773.130000000001</v>
      </c>
      <c r="AA110" s="8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</row>
    <row r="111" spans="1:110" s="21" customFormat="1" ht="27" customHeight="1" thickBot="1">
      <c r="A111" s="101"/>
      <c r="B111" s="109"/>
      <c r="C111" s="110"/>
      <c r="D111" s="103"/>
      <c r="E111" s="111"/>
      <c r="F111" s="105"/>
      <c r="G111" s="112"/>
      <c r="H111" s="107"/>
      <c r="I111" s="108">
        <f>I116+I121</f>
        <v>439687.42000000004</v>
      </c>
      <c r="J111" s="28">
        <f aca="true" t="shared" si="25" ref="J111:U111">SUM(J107:J110)</f>
        <v>0</v>
      </c>
      <c r="K111" s="9">
        <f t="shared" si="25"/>
        <v>0</v>
      </c>
      <c r="L111" s="9">
        <f t="shared" si="25"/>
        <v>0</v>
      </c>
      <c r="M111" s="9">
        <f t="shared" si="25"/>
        <v>0</v>
      </c>
      <c r="N111" s="9">
        <f t="shared" si="25"/>
        <v>0</v>
      </c>
      <c r="O111" s="9">
        <f t="shared" si="25"/>
        <v>0</v>
      </c>
      <c r="P111" s="9">
        <f t="shared" si="25"/>
        <v>0</v>
      </c>
      <c r="Q111" s="9">
        <f t="shared" si="25"/>
        <v>1143.85</v>
      </c>
      <c r="R111" s="9">
        <f t="shared" si="25"/>
        <v>30963.18</v>
      </c>
      <c r="S111" s="9">
        <f t="shared" si="25"/>
        <v>385023.74</v>
      </c>
      <c r="T111" s="9">
        <f t="shared" si="25"/>
        <v>22208.46</v>
      </c>
      <c r="U111" s="9">
        <f t="shared" si="25"/>
        <v>348.19</v>
      </c>
      <c r="V111" s="82"/>
      <c r="W111" s="9"/>
      <c r="X111" s="61"/>
      <c r="Y111" s="63"/>
      <c r="Z111" s="7">
        <f>Z116+Z121</f>
        <v>439687.42000000004</v>
      </c>
      <c r="AA111" s="8">
        <v>439687.42</v>
      </c>
      <c r="AB111" s="4" t="s">
        <v>21</v>
      </c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</row>
    <row r="112" spans="1:110" s="15" customFormat="1" ht="9.75" customHeight="1" hidden="1" thickBot="1">
      <c r="A112" s="131">
        <v>10</v>
      </c>
      <c r="B112" s="38" t="s">
        <v>72</v>
      </c>
      <c r="C112" s="39" t="s">
        <v>73</v>
      </c>
      <c r="D112" s="39" t="s">
        <v>74</v>
      </c>
      <c r="E112" s="50" t="s">
        <v>75</v>
      </c>
      <c r="F112" s="51">
        <v>193702.21</v>
      </c>
      <c r="G112" s="52">
        <v>0</v>
      </c>
      <c r="H112" s="55"/>
      <c r="I112" s="36">
        <f aca="true" t="shared" si="26" ref="I112:I121">SUM(J112:U112)</f>
        <v>186843.56</v>
      </c>
      <c r="J112" s="29"/>
      <c r="K112" s="12"/>
      <c r="L112" s="12"/>
      <c r="M112" s="12"/>
      <c r="N112" s="12"/>
      <c r="O112" s="12"/>
      <c r="P112" s="12"/>
      <c r="Q112" s="12"/>
      <c r="R112" s="12"/>
      <c r="S112" s="12">
        <v>186843.56</v>
      </c>
      <c r="T112" s="12"/>
      <c r="U112" s="12"/>
      <c r="V112" s="92"/>
      <c r="W112" s="1"/>
      <c r="X112" s="73">
        <v>0</v>
      </c>
      <c r="Y112" s="42">
        <f>Q116+S116+T116+U116</f>
        <v>198686.22999999998</v>
      </c>
      <c r="Z112" s="2">
        <f>S112</f>
        <v>186843.56</v>
      </c>
      <c r="AA112" s="3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</row>
    <row r="113" spans="1:110" s="15" customFormat="1" ht="9.75" customHeight="1" hidden="1" thickBot="1">
      <c r="A113" s="131"/>
      <c r="B113" s="38"/>
      <c r="C113" s="39"/>
      <c r="D113" s="39"/>
      <c r="E113" s="50"/>
      <c r="F113" s="51"/>
      <c r="G113" s="52"/>
      <c r="H113" s="55"/>
      <c r="I113" s="36">
        <f t="shared" si="26"/>
        <v>5525.93</v>
      </c>
      <c r="J113" s="30"/>
      <c r="K113" s="17"/>
      <c r="L113" s="17"/>
      <c r="M113" s="17"/>
      <c r="N113" s="17"/>
      <c r="O113" s="17"/>
      <c r="P113" s="17"/>
      <c r="Q113" s="17"/>
      <c r="R113" s="17"/>
      <c r="S113" s="17"/>
      <c r="T113" s="17">
        <v>5187.88</v>
      </c>
      <c r="U113" s="17">
        <v>338.05</v>
      </c>
      <c r="V113" s="92"/>
      <c r="W113" s="18"/>
      <c r="X113" s="74"/>
      <c r="Y113" s="43"/>
      <c r="Z113" s="7">
        <f>T113+U113</f>
        <v>5525.93</v>
      </c>
      <c r="AA113" s="8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</row>
    <row r="114" spans="1:110" s="15" customFormat="1" ht="9.75" customHeight="1" hidden="1" thickBot="1">
      <c r="A114" s="131"/>
      <c r="B114" s="70"/>
      <c r="C114" s="71"/>
      <c r="D114" s="39"/>
      <c r="E114" s="83"/>
      <c r="F114" s="51"/>
      <c r="G114" s="84"/>
      <c r="H114" s="55"/>
      <c r="I114" s="36">
        <f t="shared" si="26"/>
        <v>545.65</v>
      </c>
      <c r="J114" s="30"/>
      <c r="K114" s="17"/>
      <c r="L114" s="17"/>
      <c r="M114" s="17"/>
      <c r="N114" s="17"/>
      <c r="O114" s="17"/>
      <c r="P114" s="17"/>
      <c r="Q114" s="17">
        <v>545.65</v>
      </c>
      <c r="R114" s="17"/>
      <c r="S114" s="17"/>
      <c r="T114" s="17"/>
      <c r="U114" s="17"/>
      <c r="V114" s="92"/>
      <c r="W114" s="18"/>
      <c r="X114" s="74"/>
      <c r="Y114" s="43"/>
      <c r="Z114" s="7">
        <f>Q114</f>
        <v>545.65</v>
      </c>
      <c r="AA114" s="8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</row>
    <row r="115" spans="1:110" s="15" customFormat="1" ht="9.75" customHeight="1" hidden="1" thickBot="1">
      <c r="A115" s="131"/>
      <c r="B115" s="70"/>
      <c r="C115" s="71"/>
      <c r="D115" s="39"/>
      <c r="E115" s="83"/>
      <c r="F115" s="51"/>
      <c r="G115" s="84"/>
      <c r="H115" s="55"/>
      <c r="I115" s="36">
        <f t="shared" si="26"/>
        <v>5771.090000000001</v>
      </c>
      <c r="J115" s="30"/>
      <c r="K115" s="17"/>
      <c r="L115" s="17"/>
      <c r="M115" s="17"/>
      <c r="N115" s="17"/>
      <c r="O115" s="17"/>
      <c r="P115" s="17"/>
      <c r="Q115" s="17"/>
      <c r="R115" s="17"/>
      <c r="S115" s="17">
        <v>5605.31</v>
      </c>
      <c r="T115" s="17">
        <v>155.64</v>
      </c>
      <c r="U115" s="17">
        <v>10.14</v>
      </c>
      <c r="V115" s="92"/>
      <c r="W115" s="19"/>
      <c r="X115" s="74"/>
      <c r="Y115" s="43"/>
      <c r="Z115" s="7">
        <f>S115+T115+U115</f>
        <v>5771.090000000001</v>
      </c>
      <c r="AA115" s="8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</row>
    <row r="116" spans="1:110" s="15" customFormat="1" ht="27" customHeight="1" thickBot="1">
      <c r="A116" s="131"/>
      <c r="B116" s="70"/>
      <c r="C116" s="71"/>
      <c r="D116" s="39"/>
      <c r="E116" s="83"/>
      <c r="F116" s="51"/>
      <c r="G116" s="84"/>
      <c r="H116" s="55"/>
      <c r="I116" s="36">
        <f t="shared" si="26"/>
        <v>198686.22999999998</v>
      </c>
      <c r="J116" s="31">
        <f>SUM(J112:J115)</f>
        <v>0</v>
      </c>
      <c r="K116" s="19">
        <f aca="true" t="shared" si="27" ref="K116:U116">SUM(K112:K115)</f>
        <v>0</v>
      </c>
      <c r="L116" s="19">
        <f t="shared" si="27"/>
        <v>0</v>
      </c>
      <c r="M116" s="19">
        <f t="shared" si="27"/>
        <v>0</v>
      </c>
      <c r="N116" s="19">
        <f t="shared" si="27"/>
        <v>0</v>
      </c>
      <c r="O116" s="19">
        <f t="shared" si="27"/>
        <v>0</v>
      </c>
      <c r="P116" s="19">
        <f t="shared" si="27"/>
        <v>0</v>
      </c>
      <c r="Q116" s="19">
        <f t="shared" si="27"/>
        <v>545.65</v>
      </c>
      <c r="R116" s="19">
        <f t="shared" si="27"/>
        <v>0</v>
      </c>
      <c r="S116" s="19">
        <f t="shared" si="27"/>
        <v>192448.87</v>
      </c>
      <c r="T116" s="19">
        <f t="shared" si="27"/>
        <v>5343.52</v>
      </c>
      <c r="U116" s="19">
        <f t="shared" si="27"/>
        <v>348.19</v>
      </c>
      <c r="V116" s="92"/>
      <c r="W116" s="19"/>
      <c r="X116" s="74"/>
      <c r="Y116" s="43"/>
      <c r="Z116" s="7">
        <f>SUM(Z112:Z115)</f>
        <v>198686.22999999998</v>
      </c>
      <c r="AA116" s="8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</row>
    <row r="117" spans="1:110" s="15" customFormat="1" ht="9.75" customHeight="1" hidden="1" thickBot="1">
      <c r="A117" s="131">
        <v>10</v>
      </c>
      <c r="B117" s="38" t="s">
        <v>76</v>
      </c>
      <c r="C117" s="39" t="s">
        <v>77</v>
      </c>
      <c r="D117" s="39" t="s">
        <v>74</v>
      </c>
      <c r="E117" s="50" t="s">
        <v>78</v>
      </c>
      <c r="F117" s="51">
        <v>234334.1</v>
      </c>
      <c r="G117" s="52">
        <v>0</v>
      </c>
      <c r="H117" s="55"/>
      <c r="I117" s="36">
        <f t="shared" si="26"/>
        <v>226847.34000000003</v>
      </c>
      <c r="J117" s="29"/>
      <c r="K117" s="12"/>
      <c r="L117" s="12"/>
      <c r="M117" s="12"/>
      <c r="N117" s="12"/>
      <c r="O117" s="12"/>
      <c r="P117" s="12"/>
      <c r="Q117" s="12"/>
      <c r="R117" s="12">
        <v>30061.34</v>
      </c>
      <c r="S117" s="12">
        <v>186965.89</v>
      </c>
      <c r="T117" s="12">
        <v>9820.11</v>
      </c>
      <c r="U117" s="12"/>
      <c r="V117" s="92"/>
      <c r="W117" s="9"/>
      <c r="X117" s="73">
        <v>0</v>
      </c>
      <c r="Y117" s="42">
        <f>Q121+R121+S121+T121</f>
        <v>241001.19000000003</v>
      </c>
      <c r="Z117" s="2">
        <f>R117+S117+T117</f>
        <v>226847.34000000003</v>
      </c>
      <c r="AA117" s="3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</row>
    <row r="118" spans="1:110" s="15" customFormat="1" ht="9.75" customHeight="1" hidden="1" thickBot="1">
      <c r="A118" s="131"/>
      <c r="B118" s="38"/>
      <c r="C118" s="39"/>
      <c r="D118" s="39"/>
      <c r="E118" s="50"/>
      <c r="F118" s="51"/>
      <c r="G118" s="52"/>
      <c r="H118" s="55"/>
      <c r="I118" s="36">
        <f t="shared" si="26"/>
        <v>6553.61</v>
      </c>
      <c r="J118" s="30"/>
      <c r="K118" s="17"/>
      <c r="L118" s="17"/>
      <c r="M118" s="17"/>
      <c r="N118" s="17"/>
      <c r="O118" s="17"/>
      <c r="P118" s="17"/>
      <c r="Q118" s="17"/>
      <c r="R118" s="17"/>
      <c r="S118" s="17"/>
      <c r="T118" s="17">
        <v>6553.61</v>
      </c>
      <c r="U118" s="17"/>
      <c r="V118" s="92"/>
      <c r="W118" s="18"/>
      <c r="X118" s="74"/>
      <c r="Y118" s="43"/>
      <c r="Z118" s="7">
        <f>T118</f>
        <v>6553.61</v>
      </c>
      <c r="AA118" s="8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</row>
    <row r="119" spans="1:110" s="15" customFormat="1" ht="9.75" customHeight="1" hidden="1" thickBot="1">
      <c r="A119" s="131"/>
      <c r="B119" s="70"/>
      <c r="C119" s="71"/>
      <c r="D119" s="39"/>
      <c r="E119" s="83"/>
      <c r="F119" s="51"/>
      <c r="G119" s="84"/>
      <c r="H119" s="55"/>
      <c r="I119" s="36">
        <f t="shared" si="26"/>
        <v>598.2</v>
      </c>
      <c r="J119" s="30"/>
      <c r="K119" s="17"/>
      <c r="L119" s="17"/>
      <c r="M119" s="17"/>
      <c r="N119" s="17"/>
      <c r="O119" s="17"/>
      <c r="P119" s="17"/>
      <c r="Q119" s="17">
        <v>598.2</v>
      </c>
      <c r="R119" s="17"/>
      <c r="S119" s="17"/>
      <c r="T119" s="17"/>
      <c r="U119" s="17"/>
      <c r="V119" s="92"/>
      <c r="W119" s="18"/>
      <c r="X119" s="74"/>
      <c r="Y119" s="43"/>
      <c r="Z119" s="7">
        <v>598.2</v>
      </c>
      <c r="AA119" s="8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</row>
    <row r="120" spans="1:110" s="15" customFormat="1" ht="9.75" customHeight="1" hidden="1" thickBot="1">
      <c r="A120" s="131"/>
      <c r="B120" s="70"/>
      <c r="C120" s="71"/>
      <c r="D120" s="39"/>
      <c r="E120" s="83"/>
      <c r="F120" s="51"/>
      <c r="G120" s="84"/>
      <c r="H120" s="55"/>
      <c r="I120" s="36">
        <f t="shared" si="26"/>
        <v>7002.04</v>
      </c>
      <c r="J120" s="30"/>
      <c r="K120" s="17"/>
      <c r="L120" s="17"/>
      <c r="M120" s="17"/>
      <c r="N120" s="17"/>
      <c r="O120" s="17"/>
      <c r="P120" s="17"/>
      <c r="Q120" s="17"/>
      <c r="R120" s="17">
        <v>901.84</v>
      </c>
      <c r="S120" s="17">
        <v>5608.98</v>
      </c>
      <c r="T120" s="17">
        <f>196.61+294.61</f>
        <v>491.22</v>
      </c>
      <c r="U120" s="17"/>
      <c r="V120" s="92"/>
      <c r="W120" s="19"/>
      <c r="X120" s="74"/>
      <c r="Y120" s="43"/>
      <c r="Z120" s="7">
        <f>R120+S120+T120</f>
        <v>7002.04</v>
      </c>
      <c r="AA120" s="8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</row>
    <row r="121" spans="1:110" s="15" customFormat="1" ht="27" customHeight="1" thickBot="1">
      <c r="A121" s="132"/>
      <c r="B121" s="89"/>
      <c r="C121" s="90"/>
      <c r="D121" s="91"/>
      <c r="E121" s="86"/>
      <c r="F121" s="87"/>
      <c r="G121" s="88"/>
      <c r="H121" s="85"/>
      <c r="I121" s="37">
        <f t="shared" si="26"/>
        <v>241001.19000000003</v>
      </c>
      <c r="J121" s="31">
        <f>SUM(J117:J120)</f>
        <v>0</v>
      </c>
      <c r="K121" s="19">
        <f aca="true" t="shared" si="28" ref="K121:U121">SUM(K117:K120)</f>
        <v>0</v>
      </c>
      <c r="L121" s="19">
        <f t="shared" si="28"/>
        <v>0</v>
      </c>
      <c r="M121" s="19">
        <f t="shared" si="28"/>
        <v>0</v>
      </c>
      <c r="N121" s="19">
        <f t="shared" si="28"/>
        <v>0</v>
      </c>
      <c r="O121" s="19">
        <f t="shared" si="28"/>
        <v>0</v>
      </c>
      <c r="P121" s="19">
        <f t="shared" si="28"/>
        <v>0</v>
      </c>
      <c r="Q121" s="19">
        <f t="shared" si="28"/>
        <v>598.2</v>
      </c>
      <c r="R121" s="19">
        <f t="shared" si="28"/>
        <v>30963.18</v>
      </c>
      <c r="S121" s="19">
        <f t="shared" si="28"/>
        <v>192574.87000000002</v>
      </c>
      <c r="T121" s="19">
        <f t="shared" si="28"/>
        <v>16864.940000000002</v>
      </c>
      <c r="U121" s="19">
        <f t="shared" si="28"/>
        <v>0</v>
      </c>
      <c r="V121" s="92"/>
      <c r="W121" s="19"/>
      <c r="X121" s="74"/>
      <c r="Y121" s="43"/>
      <c r="Z121" s="7">
        <f>SUM(Z117:Z120)</f>
        <v>241001.19000000003</v>
      </c>
      <c r="AA121" s="8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</row>
  </sheetData>
  <mergeCells count="232">
    <mergeCell ref="Y117:Y121"/>
    <mergeCell ref="V112:V121"/>
    <mergeCell ref="X112:X116"/>
    <mergeCell ref="Y112:Y116"/>
    <mergeCell ref="F117:F121"/>
    <mergeCell ref="G117:G121"/>
    <mergeCell ref="X107:X111"/>
    <mergeCell ref="A117:A121"/>
    <mergeCell ref="B117:B121"/>
    <mergeCell ref="C117:C121"/>
    <mergeCell ref="D117:D121"/>
    <mergeCell ref="X117:X121"/>
    <mergeCell ref="Y107:Y111"/>
    <mergeCell ref="A112:A116"/>
    <mergeCell ref="B112:B116"/>
    <mergeCell ref="C112:C116"/>
    <mergeCell ref="D112:D116"/>
    <mergeCell ref="E112:E116"/>
    <mergeCell ref="F112:F116"/>
    <mergeCell ref="G112:G116"/>
    <mergeCell ref="H112:H121"/>
    <mergeCell ref="E117:E121"/>
    <mergeCell ref="Y101:Y106"/>
    <mergeCell ref="A107:A111"/>
    <mergeCell ref="B107:B111"/>
    <mergeCell ref="C107:C111"/>
    <mergeCell ref="D107:D111"/>
    <mergeCell ref="E107:E111"/>
    <mergeCell ref="F107:F111"/>
    <mergeCell ref="G107:G111"/>
    <mergeCell ref="H107:H111"/>
    <mergeCell ref="V107:V111"/>
    <mergeCell ref="X95:X100"/>
    <mergeCell ref="Y95:Y100"/>
    <mergeCell ref="A101:A106"/>
    <mergeCell ref="B101:B106"/>
    <mergeCell ref="C101:C106"/>
    <mergeCell ref="D101:D106"/>
    <mergeCell ref="E101:E106"/>
    <mergeCell ref="H101:H106"/>
    <mergeCell ref="V101:V106"/>
    <mergeCell ref="X101:X106"/>
    <mergeCell ref="X89:X94"/>
    <mergeCell ref="Y89:Y94"/>
    <mergeCell ref="A95:A100"/>
    <mergeCell ref="B95:B100"/>
    <mergeCell ref="C95:C100"/>
    <mergeCell ref="D95:D100"/>
    <mergeCell ref="E95:E100"/>
    <mergeCell ref="F95:F106"/>
    <mergeCell ref="G95:G106"/>
    <mergeCell ref="H95:H100"/>
    <mergeCell ref="A89:A94"/>
    <mergeCell ref="B89:B94"/>
    <mergeCell ref="C89:C94"/>
    <mergeCell ref="D89:D94"/>
    <mergeCell ref="E84:E88"/>
    <mergeCell ref="F84:F94"/>
    <mergeCell ref="G84:G94"/>
    <mergeCell ref="H84:H88"/>
    <mergeCell ref="E89:E94"/>
    <mergeCell ref="H89:H94"/>
    <mergeCell ref="A84:A88"/>
    <mergeCell ref="B84:B88"/>
    <mergeCell ref="C84:C88"/>
    <mergeCell ref="D84:D88"/>
    <mergeCell ref="A79:A83"/>
    <mergeCell ref="B79:B83"/>
    <mergeCell ref="C79:C83"/>
    <mergeCell ref="D79:D83"/>
    <mergeCell ref="E74:E78"/>
    <mergeCell ref="F74:F83"/>
    <mergeCell ref="G74:G83"/>
    <mergeCell ref="H74:H78"/>
    <mergeCell ref="E79:E83"/>
    <mergeCell ref="H79:H83"/>
    <mergeCell ref="A74:A78"/>
    <mergeCell ref="B74:B78"/>
    <mergeCell ref="C74:C78"/>
    <mergeCell ref="D74:D78"/>
    <mergeCell ref="E69:E73"/>
    <mergeCell ref="H69:H73"/>
    <mergeCell ref="X69:X73"/>
    <mergeCell ref="Y69:Y73"/>
    <mergeCell ref="A69:A73"/>
    <mergeCell ref="B69:B73"/>
    <mergeCell ref="C69:C73"/>
    <mergeCell ref="D69:D73"/>
    <mergeCell ref="H64:H68"/>
    <mergeCell ref="V64:V100"/>
    <mergeCell ref="X64:X68"/>
    <mergeCell ref="Y64:Y68"/>
    <mergeCell ref="X74:X78"/>
    <mergeCell ref="Y74:Y78"/>
    <mergeCell ref="X79:X83"/>
    <mergeCell ref="Y79:Y83"/>
    <mergeCell ref="X84:X88"/>
    <mergeCell ref="Y84:Y88"/>
    <mergeCell ref="V59:V63"/>
    <mergeCell ref="X59:X63"/>
    <mergeCell ref="Y59:Y63"/>
    <mergeCell ref="A64:A68"/>
    <mergeCell ref="B64:B68"/>
    <mergeCell ref="C64:C68"/>
    <mergeCell ref="D64:D68"/>
    <mergeCell ref="E64:E68"/>
    <mergeCell ref="F64:F73"/>
    <mergeCell ref="G64:G73"/>
    <mergeCell ref="E59:E63"/>
    <mergeCell ref="F59:F63"/>
    <mergeCell ref="G59:G63"/>
    <mergeCell ref="H59:H63"/>
    <mergeCell ref="A59:A63"/>
    <mergeCell ref="B59:B63"/>
    <mergeCell ref="C59:C63"/>
    <mergeCell ref="D59:D63"/>
    <mergeCell ref="H54:H58"/>
    <mergeCell ref="V54:V58"/>
    <mergeCell ref="X54:X58"/>
    <mergeCell ref="Y54:Y58"/>
    <mergeCell ref="V49:V53"/>
    <mergeCell ref="X49:X53"/>
    <mergeCell ref="Y49:Y53"/>
    <mergeCell ref="A54:A58"/>
    <mergeCell ref="B54:B58"/>
    <mergeCell ref="C54:C58"/>
    <mergeCell ref="D54:D58"/>
    <mergeCell ref="E54:E58"/>
    <mergeCell ref="F54:F58"/>
    <mergeCell ref="G54:G58"/>
    <mergeCell ref="X43:X48"/>
    <mergeCell ref="Y43:Y48"/>
    <mergeCell ref="A49:A53"/>
    <mergeCell ref="B49:B53"/>
    <mergeCell ref="C49:C53"/>
    <mergeCell ref="D49:D53"/>
    <mergeCell ref="E49:E53"/>
    <mergeCell ref="F49:F53"/>
    <mergeCell ref="G49:G53"/>
    <mergeCell ref="H49:H53"/>
    <mergeCell ref="E43:E48"/>
    <mergeCell ref="G43:G48"/>
    <mergeCell ref="H43:H48"/>
    <mergeCell ref="V43:V48"/>
    <mergeCell ref="A43:A48"/>
    <mergeCell ref="B43:B48"/>
    <mergeCell ref="C43:C48"/>
    <mergeCell ref="D43:D48"/>
    <mergeCell ref="H38:H42"/>
    <mergeCell ref="V38:V42"/>
    <mergeCell ref="X38:X42"/>
    <mergeCell ref="Y38:Y42"/>
    <mergeCell ref="V32:V37"/>
    <mergeCell ref="X32:X37"/>
    <mergeCell ref="Y32:Y37"/>
    <mergeCell ref="A38:A42"/>
    <mergeCell ref="B38:B42"/>
    <mergeCell ref="C38:C42"/>
    <mergeCell ref="D38:D42"/>
    <mergeCell ref="E38:E42"/>
    <mergeCell ref="F38:F48"/>
    <mergeCell ref="G38:G42"/>
    <mergeCell ref="E32:E37"/>
    <mergeCell ref="F32:F37"/>
    <mergeCell ref="G32:G37"/>
    <mergeCell ref="H32:H37"/>
    <mergeCell ref="A32:A37"/>
    <mergeCell ref="B32:B37"/>
    <mergeCell ref="C32:C37"/>
    <mergeCell ref="D32:D37"/>
    <mergeCell ref="H27:H31"/>
    <mergeCell ref="V27:V31"/>
    <mergeCell ref="X27:X31"/>
    <mergeCell ref="Y27:Y31"/>
    <mergeCell ref="V22:V26"/>
    <mergeCell ref="X22:X26"/>
    <mergeCell ref="Y22:Y26"/>
    <mergeCell ref="A27:A31"/>
    <mergeCell ref="B27:B31"/>
    <mergeCell ref="C27:C31"/>
    <mergeCell ref="D27:D31"/>
    <mergeCell ref="E27:E31"/>
    <mergeCell ref="F27:F31"/>
    <mergeCell ref="G27:G31"/>
    <mergeCell ref="E22:E26"/>
    <mergeCell ref="F22:F26"/>
    <mergeCell ref="G22:G26"/>
    <mergeCell ref="H22:H26"/>
    <mergeCell ref="A22:A26"/>
    <mergeCell ref="B22:B26"/>
    <mergeCell ref="C22:C26"/>
    <mergeCell ref="D22:D26"/>
    <mergeCell ref="E17:E21"/>
    <mergeCell ref="F17:F21"/>
    <mergeCell ref="G17:G21"/>
    <mergeCell ref="X17:X21"/>
    <mergeCell ref="A17:A21"/>
    <mergeCell ref="B17:B21"/>
    <mergeCell ref="C17:C21"/>
    <mergeCell ref="D17:D21"/>
    <mergeCell ref="E12:E16"/>
    <mergeCell ref="F12:F16"/>
    <mergeCell ref="G12:G16"/>
    <mergeCell ref="X12:X16"/>
    <mergeCell ref="H7:H21"/>
    <mergeCell ref="V7:V21"/>
    <mergeCell ref="X7:X11"/>
    <mergeCell ref="E7:E11"/>
    <mergeCell ref="F7:F11"/>
    <mergeCell ref="G7:G11"/>
    <mergeCell ref="A12:A16"/>
    <mergeCell ref="B12:B16"/>
    <mergeCell ref="C12:C16"/>
    <mergeCell ref="D12:D16"/>
    <mergeCell ref="Y7:Y11"/>
    <mergeCell ref="Y12:Y16"/>
    <mergeCell ref="Y17:Y21"/>
    <mergeCell ref="V2:V6"/>
    <mergeCell ref="X2:X6"/>
    <mergeCell ref="Y2:Y6"/>
    <mergeCell ref="A7:A11"/>
    <mergeCell ref="B7:B11"/>
    <mergeCell ref="C7:C11"/>
    <mergeCell ref="D7:D11"/>
    <mergeCell ref="E2:E6"/>
    <mergeCell ref="F2:F6"/>
    <mergeCell ref="G2:G6"/>
    <mergeCell ref="H2:H6"/>
    <mergeCell ref="A2:A6"/>
    <mergeCell ref="B2:B6"/>
    <mergeCell ref="C2:C6"/>
    <mergeCell ref="D2:D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8" sqref="D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</dc:creator>
  <cp:keywords/>
  <dc:description/>
  <cp:lastModifiedBy>Ramunas</cp:lastModifiedBy>
  <cp:lastPrinted>2009-02-05T13:28:00Z</cp:lastPrinted>
  <dcterms:created xsi:type="dcterms:W3CDTF">2009-02-05T13:13:35Z</dcterms:created>
  <dcterms:modified xsi:type="dcterms:W3CDTF">2009-02-19T13:46:23Z</dcterms:modified>
  <cp:category/>
  <cp:version/>
  <cp:contentType/>
  <cp:contentStatus/>
</cp:coreProperties>
</file>